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 infra/"/>
    </mc:Choice>
  </mc:AlternateContent>
  <xr:revisionPtr revIDLastSave="44" documentId="8_{B6DE9AA7-D1EA-4487-A037-79074C22F532}" xr6:coauthVersionLast="47" xr6:coauthVersionMax="47" xr10:uidLastSave="{219F76A0-67CE-4B0E-A8CD-54DE3F5DDDD7}"/>
  <bookViews>
    <workbookView xWindow="-110" yWindow="-110" windowWidth="19420" windowHeight="10420" tabRatio="741" activeTab="3" xr2:uid="{00000000-000D-0000-FFFF-FFFF01000000}"/>
  </bookViews>
  <sheets>
    <sheet name="Juhend" sheetId="6" r:id="rId1"/>
    <sheet name="Esileht" sheetId="9" r:id="rId2"/>
    <sheet name="1. Projekti elluviimise kulud" sheetId="2" r:id="rId3"/>
    <sheet name="2. Tulud-kulud projektiga" sheetId="1" r:id="rId4"/>
    <sheet name="3. Tulud-kulud projektita" sheetId="4" r:id="rId5"/>
    <sheet name="4. Lisanduvad tulud-kulud" sheetId="5" r:id="rId6"/>
    <sheet name="5. Abikõlblik kulu" sheetId="7" r:id="rId7"/>
    <sheet name="6. Rahavood" sheetId="8" r:id="rId8"/>
    <sheet name="7. Tasuvus" sheetId="11" r:id="rId9"/>
    <sheet name="8. Jääkväärtus" sheetId="13" r:id="rId10"/>
    <sheet name="Eeldused_müük" sheetId="29" r:id="rId11"/>
    <sheet name="Rah.min prognoos" sheetId="31" state="hidden" r:id="rId12"/>
    <sheet name="Sots.majanduslik moju" sheetId="18" r:id="rId13"/>
    <sheet name="Maksumäärad" sheetId="10" r:id="rId14"/>
    <sheet name="Arvestusperioodid" sheetId="12" r:id="rId15"/>
    <sheet name="personal" sheetId="30" r:id="rId16"/>
    <sheet name="Asendusinvesteeringud" sheetId="22" state="hidden" r:id="rId17"/>
    <sheet name="Link tabel" sheetId="21" r:id="rId18"/>
  </sheets>
  <externalReferences>
    <externalReference r:id="rId19"/>
  </externalReferences>
  <definedNames>
    <definedName name="Excel_BuiltIn_Database_0">#REF!</definedName>
    <definedName name="_xlnm.Print_Area" localSheetId="10">Eeldused_müük!$A$1:$Z$17</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7">'6. Rahavood'!$A:$A,'6. Rahavood'!$3:$4</definedName>
    <definedName name="_xlnm.Print_Titles" localSheetId="8">'7. Tasuvus'!$A:$A,'7. Tasuvus'!$3:$4</definedName>
    <definedName name="_xlnm.Print_Titles" localSheetId="9">'8.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8" l="1"/>
  <c r="H13" i="8"/>
  <c r="I13" i="8"/>
  <c r="J13" i="8"/>
  <c r="K13" i="8"/>
  <c r="L13" i="8"/>
  <c r="M13" i="8"/>
  <c r="N13" i="8"/>
  <c r="O13" i="8"/>
  <c r="P13" i="8"/>
  <c r="Q13" i="8"/>
  <c r="F61" i="1"/>
  <c r="F60" i="1"/>
  <c r="D16" i="30"/>
  <c r="E16" i="30" s="1"/>
  <c r="F16" i="30" s="1"/>
  <c r="H59" i="1" s="1"/>
  <c r="E59" i="1"/>
  <c r="H8" i="1"/>
  <c r="E106" i="1"/>
  <c r="P111" i="1"/>
  <c r="Q60" i="1"/>
  <c r="R60" i="1"/>
  <c r="H61" i="1"/>
  <c r="I61" i="1"/>
  <c r="J61" i="1"/>
  <c r="K61" i="1"/>
  <c r="L61" i="1"/>
  <c r="M61" i="1"/>
  <c r="N61" i="1"/>
  <c r="O61" i="1"/>
  <c r="P61" i="1"/>
  <c r="Q61" i="1"/>
  <c r="R61" i="1"/>
  <c r="G61" i="1"/>
  <c r="F18" i="30"/>
  <c r="G18" i="30" s="1"/>
  <c r="H18" i="30" s="1"/>
  <c r="I18" i="30" s="1"/>
  <c r="J18" i="30" s="1"/>
  <c r="K18" i="30" s="1"/>
  <c r="L18" i="30" s="1"/>
  <c r="M18" i="30" s="1"/>
  <c r="N18" i="30" s="1"/>
  <c r="O18" i="30" s="1"/>
  <c r="P18" i="30" s="1"/>
  <c r="E17" i="30"/>
  <c r="G60" i="1" s="1"/>
  <c r="E18" i="30"/>
  <c r="P9" i="30"/>
  <c r="P10" i="30"/>
  <c r="P11" i="30"/>
  <c r="P12" i="30"/>
  <c r="C9" i="30"/>
  <c r="D9" i="30"/>
  <c r="E9" i="30"/>
  <c r="F9" i="30"/>
  <c r="G9" i="30"/>
  <c r="H9" i="30"/>
  <c r="I9" i="30"/>
  <c r="J9" i="30"/>
  <c r="K9" i="30"/>
  <c r="L9" i="30"/>
  <c r="M9" i="30"/>
  <c r="N9" i="30"/>
  <c r="O9" i="30"/>
  <c r="B9" i="30"/>
  <c r="G20" i="18"/>
  <c r="H20" i="18"/>
  <c r="I20" i="18"/>
  <c r="J20" i="18"/>
  <c r="G19" i="18"/>
  <c r="H19" i="18"/>
  <c r="I19" i="18"/>
  <c r="J19" i="18"/>
  <c r="G18" i="18"/>
  <c r="H18" i="18"/>
  <c r="I18" i="18"/>
  <c r="J18" i="18"/>
  <c r="G94" i="1"/>
  <c r="H94" i="1" s="1"/>
  <c r="I94" i="1" s="1"/>
  <c r="J94" i="1" s="1"/>
  <c r="K94" i="1" s="1"/>
  <c r="L94" i="1" s="1"/>
  <c r="M94" i="1" s="1"/>
  <c r="N94" i="1" s="1"/>
  <c r="O94" i="1" s="1"/>
  <c r="F109" i="1"/>
  <c r="F108" i="1"/>
  <c r="H108" i="1" s="1"/>
  <c r="I108" i="1" s="1"/>
  <c r="J108" i="1" s="1"/>
  <c r="K108" i="1" s="1"/>
  <c r="L108" i="1" s="1"/>
  <c r="M108" i="1" s="1"/>
  <c r="N108" i="1" s="1"/>
  <c r="O108" i="1" s="1"/>
  <c r="P108" i="1" s="1"/>
  <c r="Q108" i="1" s="1"/>
  <c r="R108" i="1" s="1"/>
  <c r="Q14" i="29"/>
  <c r="R14" i="29" s="1"/>
  <c r="Q13" i="29"/>
  <c r="R13" i="29" s="1"/>
  <c r="S12" i="29"/>
  <c r="Q12" i="29"/>
  <c r="R12" i="29" s="1"/>
  <c r="R11" i="29"/>
  <c r="Q11" i="29"/>
  <c r="R10" i="29"/>
  <c r="Q10" i="29"/>
  <c r="R8" i="29"/>
  <c r="S8" i="29" s="1"/>
  <c r="Q8" i="29"/>
  <c r="R7" i="29"/>
  <c r="S7" i="29"/>
  <c r="Q7" i="29"/>
  <c r="R5" i="29"/>
  <c r="S5" i="29" s="1"/>
  <c r="Q5" i="29"/>
  <c r="Q2" i="29"/>
  <c r="R2" i="29" s="1"/>
  <c r="R3" i="29"/>
  <c r="Q3" i="29"/>
  <c r="P3" i="29"/>
  <c r="O3" i="29"/>
  <c r="N3" i="29"/>
  <c r="M3" i="29"/>
  <c r="L3" i="29"/>
  <c r="K3" i="29"/>
  <c r="J3" i="29"/>
  <c r="I3" i="29"/>
  <c r="H3" i="29"/>
  <c r="G3" i="29"/>
  <c r="F3" i="29"/>
  <c r="E3" i="29"/>
  <c r="D3" i="29"/>
  <c r="H109" i="1"/>
  <c r="I109" i="1" s="1"/>
  <c r="J109" i="1" s="1"/>
  <c r="K109" i="1" s="1"/>
  <c r="L109" i="1" s="1"/>
  <c r="M109" i="1" s="1"/>
  <c r="N109" i="1" s="1"/>
  <c r="O109" i="1" s="1"/>
  <c r="P109" i="1" s="1"/>
  <c r="Q109" i="1" s="1"/>
  <c r="R109" i="1" s="1"/>
  <c r="Q106" i="1"/>
  <c r="R106" i="1"/>
  <c r="R107" i="1"/>
  <c r="I8" i="1"/>
  <c r="J8" i="1" s="1"/>
  <c r="K8" i="1" s="1"/>
  <c r="L8" i="1" s="1"/>
  <c r="M8" i="1" s="1"/>
  <c r="N8" i="1" s="1"/>
  <c r="O8" i="1" s="1"/>
  <c r="L7" i="1"/>
  <c r="O12" i="30"/>
  <c r="N12" i="30"/>
  <c r="M12" i="30"/>
  <c r="L12" i="30"/>
  <c r="K12" i="30"/>
  <c r="J12" i="30"/>
  <c r="I12" i="30"/>
  <c r="H12" i="30"/>
  <c r="G12" i="30"/>
  <c r="F12" i="30"/>
  <c r="E12" i="30"/>
  <c r="D12" i="30"/>
  <c r="C12" i="30"/>
  <c r="O11" i="30"/>
  <c r="N11" i="30"/>
  <c r="M11" i="30"/>
  <c r="L11" i="30"/>
  <c r="K11" i="30"/>
  <c r="J11" i="30"/>
  <c r="I11" i="30"/>
  <c r="H11" i="30"/>
  <c r="G11" i="30"/>
  <c r="F11" i="30"/>
  <c r="E11" i="30"/>
  <c r="D11" i="30"/>
  <c r="C11" i="30"/>
  <c r="O10" i="30"/>
  <c r="N10" i="30"/>
  <c r="M10" i="30"/>
  <c r="L10" i="30"/>
  <c r="K10" i="30"/>
  <c r="J10" i="30"/>
  <c r="I10" i="30"/>
  <c r="H10" i="30"/>
  <c r="G10" i="30"/>
  <c r="F10" i="30"/>
  <c r="E10" i="30"/>
  <c r="D10" i="30"/>
  <c r="C10" i="30"/>
  <c r="D17" i="31"/>
  <c r="E17" i="31"/>
  <c r="F17" i="31"/>
  <c r="G17" i="31"/>
  <c r="H17" i="31"/>
  <c r="I17" i="31"/>
  <c r="J17" i="31"/>
  <c r="K17" i="31"/>
  <c r="L17" i="31"/>
  <c r="M17" i="31"/>
  <c r="N17" i="31"/>
  <c r="O17" i="31"/>
  <c r="P17" i="31"/>
  <c r="Q17" i="31"/>
  <c r="R17" i="31"/>
  <c r="S17" i="31"/>
  <c r="T17" i="31"/>
  <c r="U17" i="31"/>
  <c r="V17" i="31"/>
  <c r="W17" i="31"/>
  <c r="X17" i="31"/>
  <c r="Y17" i="31"/>
  <c r="D18" i="31"/>
  <c r="E18" i="31"/>
  <c r="F18" i="31"/>
  <c r="G18" i="31"/>
  <c r="H18" i="31"/>
  <c r="I18" i="31"/>
  <c r="J18" i="31"/>
  <c r="K18" i="31"/>
  <c r="L18" i="31"/>
  <c r="M18" i="31"/>
  <c r="N18" i="31"/>
  <c r="O18" i="31"/>
  <c r="P18" i="31"/>
  <c r="Q18" i="31"/>
  <c r="R18" i="31"/>
  <c r="S18" i="31"/>
  <c r="T18" i="31"/>
  <c r="U18" i="31"/>
  <c r="V18" i="31"/>
  <c r="W18" i="31"/>
  <c r="X18" i="31"/>
  <c r="Y18" i="31"/>
  <c r="C18" i="31"/>
  <c r="C17" i="31"/>
  <c r="D21" i="31"/>
  <c r="E21" i="31" s="1"/>
  <c r="F21" i="31" s="1"/>
  <c r="G21" i="31" s="1"/>
  <c r="H21" i="31" s="1"/>
  <c r="I21" i="31" s="1"/>
  <c r="J21" i="31" s="1"/>
  <c r="K21" i="31" s="1"/>
  <c r="L21" i="31" s="1"/>
  <c r="M21" i="31" s="1"/>
  <c r="N21" i="31" s="1"/>
  <c r="O21" i="31" s="1"/>
  <c r="P21" i="31" s="1"/>
  <c r="Q21" i="31" s="1"/>
  <c r="R21" i="31" s="1"/>
  <c r="S21" i="31" s="1"/>
  <c r="T21" i="31" s="1"/>
  <c r="U21" i="31" s="1"/>
  <c r="V21" i="31" s="1"/>
  <c r="W21" i="31" s="1"/>
  <c r="X21" i="31" s="1"/>
  <c r="Y21" i="31" s="1"/>
  <c r="D20" i="31"/>
  <c r="E20" i="31" s="1"/>
  <c r="F20" i="31" s="1"/>
  <c r="G20" i="31" s="1"/>
  <c r="H20" i="31" s="1"/>
  <c r="I20" i="31" s="1"/>
  <c r="J20" i="31" s="1"/>
  <c r="K20" i="31" s="1"/>
  <c r="L20" i="31" s="1"/>
  <c r="M20" i="31" s="1"/>
  <c r="N20" i="31" s="1"/>
  <c r="O20" i="31" s="1"/>
  <c r="P20" i="31" s="1"/>
  <c r="Q20" i="31" s="1"/>
  <c r="R20" i="31" s="1"/>
  <c r="S20" i="31" s="1"/>
  <c r="T20" i="31" s="1"/>
  <c r="U20" i="31" s="1"/>
  <c r="V20" i="31" s="1"/>
  <c r="W20" i="31" s="1"/>
  <c r="X20" i="31" s="1"/>
  <c r="Y20" i="31" s="1"/>
  <c r="C21" i="31"/>
  <c r="C20" i="31"/>
  <c r="B20" i="18"/>
  <c r="E22" i="18"/>
  <c r="F22" i="18"/>
  <c r="G22" i="18"/>
  <c r="H22" i="18"/>
  <c r="I22" i="18"/>
  <c r="J22" i="18"/>
  <c r="D104" i="1"/>
  <c r="B9" i="31"/>
  <c r="B10" i="31" s="1"/>
  <c r="B4" i="31"/>
  <c r="C4" i="31" s="1"/>
  <c r="D4" i="31" s="1"/>
  <c r="E4" i="31" s="1"/>
  <c r="F4" i="31" s="1"/>
  <c r="G4" i="31" s="1"/>
  <c r="H4" i="31" s="1"/>
  <c r="I4" i="31" s="1"/>
  <c r="J4" i="31" s="1"/>
  <c r="K4" i="31" s="1"/>
  <c r="L4" i="31" s="1"/>
  <c r="M4" i="31" s="1"/>
  <c r="N4" i="31" s="1"/>
  <c r="O4" i="31" s="1"/>
  <c r="P4" i="31" s="1"/>
  <c r="Q4" i="31" s="1"/>
  <c r="R4" i="31" s="1"/>
  <c r="S4" i="31" s="1"/>
  <c r="T4" i="31" s="1"/>
  <c r="U4" i="31" s="1"/>
  <c r="V4" i="31" s="1"/>
  <c r="W4" i="31" s="1"/>
  <c r="X4" i="31" s="1"/>
  <c r="Y4" i="31" s="1"/>
  <c r="B34" i="29"/>
  <c r="X14" i="29"/>
  <c r="W14" i="29"/>
  <c r="D14" i="29"/>
  <c r="E14" i="29" s="1"/>
  <c r="F14" i="29" s="1"/>
  <c r="G14" i="29" s="1"/>
  <c r="H14" i="29" s="1"/>
  <c r="I14" i="29" s="1"/>
  <c r="J14" i="29" s="1"/>
  <c r="K14" i="29" s="1"/>
  <c r="L14" i="29" s="1"/>
  <c r="M14" i="29" s="1"/>
  <c r="N14" i="29" s="1"/>
  <c r="O14" i="29" s="1"/>
  <c r="P14" i="29" s="1"/>
  <c r="U13" i="29"/>
  <c r="V13" i="29" s="1"/>
  <c r="D13" i="29"/>
  <c r="E13" i="29" s="1"/>
  <c r="F13" i="29" s="1"/>
  <c r="G13" i="29" s="1"/>
  <c r="H13" i="29" s="1"/>
  <c r="I13" i="29" s="1"/>
  <c r="J13" i="29" s="1"/>
  <c r="K13" i="29" s="1"/>
  <c r="L13" i="29" s="1"/>
  <c r="M13" i="29" s="1"/>
  <c r="N13" i="29" s="1"/>
  <c r="O13" i="29" s="1"/>
  <c r="P13" i="29" s="1"/>
  <c r="P107" i="1" s="1"/>
  <c r="X12" i="29"/>
  <c r="W12" i="29"/>
  <c r="D12" i="29"/>
  <c r="E12" i="29" s="1"/>
  <c r="F12" i="29" s="1"/>
  <c r="F106" i="1" s="1"/>
  <c r="O9" i="29"/>
  <c r="O7" i="1" s="1"/>
  <c r="N9" i="29"/>
  <c r="N7" i="1" s="1"/>
  <c r="M9" i="29"/>
  <c r="M7" i="1" s="1"/>
  <c r="L9" i="29"/>
  <c r="K9" i="29"/>
  <c r="K7" i="1" s="1"/>
  <c r="J9" i="29"/>
  <c r="J7" i="1" s="1"/>
  <c r="I9" i="29"/>
  <c r="I7" i="1" s="1"/>
  <c r="H9" i="29"/>
  <c r="H10" i="29" s="1"/>
  <c r="G9" i="29"/>
  <c r="X8" i="29"/>
  <c r="B8" i="29"/>
  <c r="W8" i="29" s="1"/>
  <c r="G7" i="29"/>
  <c r="H7" i="29" s="1"/>
  <c r="I7" i="29" s="1"/>
  <c r="J7" i="29" s="1"/>
  <c r="K7" i="29" s="1"/>
  <c r="L7" i="29" s="1"/>
  <c r="M7" i="29" s="1"/>
  <c r="N7" i="29" s="1"/>
  <c r="O7" i="29" s="1"/>
  <c r="P7" i="29" s="1"/>
  <c r="H5" i="29"/>
  <c r="J6" i="18" s="1"/>
  <c r="J41" i="18" s="1"/>
  <c r="H2" i="29"/>
  <c r="I2" i="29" s="1"/>
  <c r="J2" i="29" s="1"/>
  <c r="K2" i="29" s="1"/>
  <c r="L2" i="29" s="1"/>
  <c r="M2" i="29" s="1"/>
  <c r="N2" i="29" s="1"/>
  <c r="O2" i="29" s="1"/>
  <c r="P2" i="29" s="1"/>
  <c r="J43" i="2"/>
  <c r="J37" i="2"/>
  <c r="J38" i="2"/>
  <c r="J39" i="2"/>
  <c r="J40" i="2"/>
  <c r="E17" i="2"/>
  <c r="E43" i="2"/>
  <c r="E42" i="2"/>
  <c r="E41" i="2"/>
  <c r="E40" i="2"/>
  <c r="E39" i="2"/>
  <c r="E38" i="2"/>
  <c r="E37" i="2"/>
  <c r="E36" i="2"/>
  <c r="B42" i="2"/>
  <c r="B34" i="2"/>
  <c r="B35" i="2"/>
  <c r="B36" i="2"/>
  <c r="B37" i="2"/>
  <c r="B38" i="2"/>
  <c r="B39" i="2"/>
  <c r="B40" i="2"/>
  <c r="B41" i="2"/>
  <c r="E16" i="2"/>
  <c r="O13" i="2"/>
  <c r="O14" i="2"/>
  <c r="O12" i="2"/>
  <c r="J12" i="2"/>
  <c r="O11" i="2"/>
  <c r="J11" i="2"/>
  <c r="F59" i="1" l="1"/>
  <c r="F17" i="30"/>
  <c r="H60" i="1" s="1"/>
  <c r="G59" i="1"/>
  <c r="G16" i="30"/>
  <c r="H7" i="1"/>
  <c r="S9" i="29"/>
  <c r="Q107" i="1" s="1"/>
  <c r="G12" i="29"/>
  <c r="G107" i="1"/>
  <c r="J107" i="1"/>
  <c r="H107" i="1"/>
  <c r="I107" i="1"/>
  <c r="G7" i="1"/>
  <c r="O107" i="1"/>
  <c r="N107" i="1"/>
  <c r="F107" i="1"/>
  <c r="M107" i="1"/>
  <c r="E107" i="1"/>
  <c r="L107" i="1"/>
  <c r="K107" i="1"/>
  <c r="I10" i="29"/>
  <c r="H11" i="29"/>
  <c r="I5" i="29"/>
  <c r="K6" i="18" s="1"/>
  <c r="K41" i="18" s="1"/>
  <c r="G17" i="30" l="1"/>
  <c r="H17" i="30" s="1"/>
  <c r="H16" i="30"/>
  <c r="I59" i="1"/>
  <c r="H12" i="29"/>
  <c r="G106" i="1"/>
  <c r="I11" i="29"/>
  <c r="J10" i="29"/>
  <c r="J5" i="29"/>
  <c r="L6" i="18" s="1"/>
  <c r="L41" i="18" s="1"/>
  <c r="I8" i="29"/>
  <c r="K21" i="18" s="1"/>
  <c r="I60" i="1" l="1"/>
  <c r="I17" i="30"/>
  <c r="J60" i="1"/>
  <c r="I16" i="30"/>
  <c r="J59" i="1"/>
  <c r="K18" i="18"/>
  <c r="K19" i="18" s="1"/>
  <c r="K20" i="18"/>
  <c r="K22" i="18"/>
  <c r="I12" i="29"/>
  <c r="H106" i="1"/>
  <c r="J11" i="29"/>
  <c r="K10" i="29"/>
  <c r="K5" i="29"/>
  <c r="M6" i="18" s="1"/>
  <c r="M41" i="18" s="1"/>
  <c r="J8" i="29"/>
  <c r="L21" i="18" s="1"/>
  <c r="J17" i="30" l="1"/>
  <c r="K60" i="1"/>
  <c r="J16" i="30"/>
  <c r="K59" i="1"/>
  <c r="L18" i="18"/>
  <c r="L19" i="18" s="1"/>
  <c r="L20" i="18"/>
  <c r="L22" i="18"/>
  <c r="L24" i="18" s="1"/>
  <c r="J12" i="29"/>
  <c r="I106" i="1"/>
  <c r="L5" i="29"/>
  <c r="N6" i="18" s="1"/>
  <c r="N41" i="18" s="1"/>
  <c r="K8" i="29"/>
  <c r="M21" i="18" s="1"/>
  <c r="L10" i="29"/>
  <c r="K11" i="29"/>
  <c r="K17" i="30" l="1"/>
  <c r="L60" i="1"/>
  <c r="K16" i="30"/>
  <c r="L59" i="1"/>
  <c r="M20" i="18"/>
  <c r="M18" i="18"/>
  <c r="M19" i="18" s="1"/>
  <c r="M22" i="18"/>
  <c r="M24" i="18" s="1"/>
  <c r="K12" i="29"/>
  <c r="J106" i="1"/>
  <c r="L11" i="29"/>
  <c r="M10" i="29"/>
  <c r="M5" i="29"/>
  <c r="O6" i="18" s="1"/>
  <c r="O41" i="18" s="1"/>
  <c r="L8" i="29"/>
  <c r="N21" i="18" s="1"/>
  <c r="L17" i="30" l="1"/>
  <c r="M60" i="1"/>
  <c r="L16" i="30"/>
  <c r="M59" i="1"/>
  <c r="N18" i="18"/>
  <c r="N19" i="18" s="1"/>
  <c r="N20" i="18"/>
  <c r="N22" i="18"/>
  <c r="N24" i="18" s="1"/>
  <c r="L12" i="29"/>
  <c r="K106" i="1"/>
  <c r="M11" i="29"/>
  <c r="N10" i="29"/>
  <c r="N5" i="29"/>
  <c r="P6" i="18" s="1"/>
  <c r="P41" i="18" s="1"/>
  <c r="M8" i="29"/>
  <c r="O21" i="18" s="1"/>
  <c r="M17" i="30" l="1"/>
  <c r="N60" i="1"/>
  <c r="M16" i="30"/>
  <c r="N59" i="1"/>
  <c r="O20" i="18"/>
  <c r="O22" i="18"/>
  <c r="O24" i="18" s="1"/>
  <c r="O18" i="18"/>
  <c r="O19" i="18" s="1"/>
  <c r="M12" i="29"/>
  <c r="L106" i="1"/>
  <c r="O5" i="29"/>
  <c r="Q6" i="18" s="1"/>
  <c r="Q41" i="18" s="1"/>
  <c r="N8" i="29"/>
  <c r="P21" i="18" s="1"/>
  <c r="N11" i="29"/>
  <c r="O10" i="29"/>
  <c r="N17" i="30" l="1"/>
  <c r="P60" i="1" s="1"/>
  <c r="O60" i="1"/>
  <c r="N16" i="30"/>
  <c r="O59" i="1"/>
  <c r="P20" i="18"/>
  <c r="P22" i="18"/>
  <c r="P24" i="18" s="1"/>
  <c r="P18" i="18"/>
  <c r="P19" i="18" s="1"/>
  <c r="N12" i="29"/>
  <c r="M106" i="1"/>
  <c r="O11" i="29"/>
  <c r="P10" i="29"/>
  <c r="P5" i="29"/>
  <c r="R6" i="18" s="1"/>
  <c r="R41" i="18" s="1"/>
  <c r="O8" i="29"/>
  <c r="Q21" i="18" s="1"/>
  <c r="O16" i="30" l="1"/>
  <c r="Q59" i="1" s="1"/>
  <c r="P59" i="1"/>
  <c r="Q18" i="18"/>
  <c r="Q19" i="18" s="1"/>
  <c r="Q20" i="18"/>
  <c r="Q22" i="18"/>
  <c r="Q24" i="18" s="1"/>
  <c r="O12" i="29"/>
  <c r="N106" i="1"/>
  <c r="U5" i="29"/>
  <c r="P8" i="29"/>
  <c r="S6" i="18"/>
  <c r="S41" i="18" s="1"/>
  <c r="S10" i="29"/>
  <c r="P11" i="29"/>
  <c r="S11" i="29" s="1"/>
  <c r="P16" i="30" l="1"/>
  <c r="R59" i="1" s="1"/>
  <c r="S21" i="18"/>
  <c r="R21" i="18"/>
  <c r="P12" i="29"/>
  <c r="P106" i="1" s="1"/>
  <c r="O106" i="1"/>
  <c r="S18" i="18" l="1"/>
  <c r="S19" i="18" s="1"/>
  <c r="S20" i="18"/>
  <c r="S22" i="18"/>
  <c r="S24" i="18" s="1"/>
  <c r="R18" i="18"/>
  <c r="R19" i="18" s="1"/>
  <c r="R20" i="18"/>
  <c r="R22" i="18"/>
  <c r="R24" i="18" s="1"/>
  <c r="E35" i="2"/>
  <c r="E17" i="11" l="1"/>
  <c r="F17" i="11"/>
  <c r="G17" i="11"/>
  <c r="H17" i="11"/>
  <c r="I17" i="11"/>
  <c r="J17" i="11"/>
  <c r="K17" i="11"/>
  <c r="L17" i="11"/>
  <c r="M17" i="11"/>
  <c r="N17" i="11"/>
  <c r="O17" i="11"/>
  <c r="P17" i="11"/>
  <c r="Q17" i="11"/>
  <c r="D17" i="11"/>
  <c r="E32" i="18"/>
  <c r="F32" i="18"/>
  <c r="T50" i="18" l="1"/>
  <c r="C2" i="21"/>
  <c r="A2" i="21"/>
  <c r="D7" i="21"/>
  <c r="D4" i="21"/>
  <c r="A5" i="21"/>
  <c r="A6" i="21"/>
  <c r="A7" i="21"/>
  <c r="A4" i="21"/>
  <c r="M36" i="21" l="1"/>
  <c r="D32" i="2"/>
  <c r="F47" i="2"/>
  <c r="F35" i="2"/>
  <c r="V13" i="18"/>
  <c r="V14" i="18"/>
  <c r="W14" i="18"/>
  <c r="V15" i="18"/>
  <c r="W15" i="18"/>
  <c r="V16" i="18"/>
  <c r="W16" i="18"/>
  <c r="X16" i="18"/>
  <c r="K36" i="21" l="1"/>
  <c r="A41" i="18"/>
  <c r="G6" i="18" l="1"/>
  <c r="J13" i="18"/>
  <c r="P15" i="18"/>
  <c r="X15" i="18" s="1"/>
  <c r="Q16" i="18"/>
  <c r="G12" i="18"/>
  <c r="O15" i="18"/>
  <c r="L14" i="18"/>
  <c r="H12" i="18"/>
  <c r="N14" i="18"/>
  <c r="K13" i="18"/>
  <c r="W13" i="18" s="1"/>
  <c r="L13" i="18"/>
  <c r="R16" i="18"/>
  <c r="I12" i="18"/>
  <c r="V12" i="18" s="1"/>
  <c r="Q15" i="18"/>
  <c r="M14" i="18"/>
  <c r="S16" i="18"/>
  <c r="Y16" i="18" s="1"/>
  <c r="J12" i="18"/>
  <c r="H6" i="18" l="1"/>
  <c r="G45" i="18"/>
  <c r="G46" i="18"/>
  <c r="H45" i="18"/>
  <c r="H46" i="18"/>
  <c r="R15" i="18"/>
  <c r="I46" i="18"/>
  <c r="O14" i="18"/>
  <c r="M13" i="18"/>
  <c r="J37" i="18"/>
  <c r="J45" i="18"/>
  <c r="J46" i="18"/>
  <c r="G27" i="18" l="1"/>
  <c r="G34" i="18" s="1"/>
  <c r="G47" i="18"/>
  <c r="I27" i="18"/>
  <c r="I34" i="18" s="1"/>
  <c r="I47" i="18"/>
  <c r="V18" i="18"/>
  <c r="I45" i="18"/>
  <c r="J27" i="18"/>
  <c r="J34" i="18" s="1"/>
  <c r="J47" i="18"/>
  <c r="H27" i="18"/>
  <c r="H34" i="18" s="1"/>
  <c r="H47" i="18"/>
  <c r="J36" i="18"/>
  <c r="I6" i="18"/>
  <c r="G32" i="18"/>
  <c r="V10" i="18"/>
  <c r="J40" i="18"/>
  <c r="K12" i="18"/>
  <c r="W12" i="18" s="1"/>
  <c r="P14" i="18"/>
  <c r="X14" i="18" s="1"/>
  <c r="N13" i="18"/>
  <c r="L12" i="18"/>
  <c r="T7" i="18"/>
  <c r="L36" i="21"/>
  <c r="C28" i="21" l="1"/>
  <c r="F35" i="21" s="1"/>
  <c r="D28" i="21"/>
  <c r="H35" i="21" s="1"/>
  <c r="B28" i="21"/>
  <c r="D35" i="21" s="1"/>
  <c r="W10" i="18"/>
  <c r="Q14" i="18"/>
  <c r="O13" i="18"/>
  <c r="L46" i="18"/>
  <c r="L37" i="18"/>
  <c r="L45" i="18"/>
  <c r="K37" i="18"/>
  <c r="K46" i="18"/>
  <c r="S15" i="18"/>
  <c r="Y15" i="18" s="1"/>
  <c r="P13" i="18"/>
  <c r="X13" i="18" s="1"/>
  <c r="W18" i="18" l="1"/>
  <c r="K45" i="18"/>
  <c r="K27" i="18"/>
  <c r="K34" i="18" s="1"/>
  <c r="K47" i="18"/>
  <c r="L27" i="18"/>
  <c r="L34" i="18" s="1"/>
  <c r="L47" i="18"/>
  <c r="K40" i="18"/>
  <c r="L36" i="18"/>
  <c r="K36" i="18"/>
  <c r="L40" i="18"/>
  <c r="R14" i="18"/>
  <c r="M12" i="18"/>
  <c r="Q13" i="18"/>
  <c r="M40" i="18" l="1"/>
  <c r="N12" i="18"/>
  <c r="M45" i="18"/>
  <c r="M46" i="18"/>
  <c r="M37" i="18"/>
  <c r="S14" i="18"/>
  <c r="Y14" i="18" s="1"/>
  <c r="R13" i="18"/>
  <c r="AC86" i="18"/>
  <c r="AC85" i="18" s="1"/>
  <c r="AA85" i="18"/>
  <c r="AA83" i="18"/>
  <c r="AA84" i="18" s="1"/>
  <c r="AA82" i="18"/>
  <c r="AC82" i="18" s="1"/>
  <c r="AB81" i="18"/>
  <c r="Z81" i="18"/>
  <c r="F60" i="18"/>
  <c r="E26" i="18"/>
  <c r="F33" i="18" l="1"/>
  <c r="E25" i="18"/>
  <c r="E33" i="18"/>
  <c r="M27" i="18"/>
  <c r="M34" i="18" s="1"/>
  <c r="M47" i="18"/>
  <c r="M36" i="18"/>
  <c r="N40" i="18"/>
  <c r="O12" i="18"/>
  <c r="N37" i="18"/>
  <c r="N45" i="18"/>
  <c r="N46" i="18"/>
  <c r="N23" i="18"/>
  <c r="N31" i="18" s="1"/>
  <c r="P12" i="18"/>
  <c r="X12" i="18" s="1"/>
  <c r="V37" i="18"/>
  <c r="W42" i="18"/>
  <c r="K24" i="18"/>
  <c r="K32" i="18" s="1"/>
  <c r="J23" i="18"/>
  <c r="J31" i="18" s="1"/>
  <c r="L23" i="18"/>
  <c r="L31" i="18" s="1"/>
  <c r="V6" i="18"/>
  <c r="W6" i="18"/>
  <c r="V41" i="18"/>
  <c r="W37" i="18"/>
  <c r="W21" i="18"/>
  <c r="V21" i="18"/>
  <c r="F31" i="18"/>
  <c r="G60" i="18"/>
  <c r="AC83" i="18"/>
  <c r="AC84" i="18" s="1"/>
  <c r="N27" i="18" l="1"/>
  <c r="N34" i="18" s="1"/>
  <c r="N47" i="18"/>
  <c r="N36" i="18"/>
  <c r="O40" i="18"/>
  <c r="S13" i="18"/>
  <c r="Y13" i="18" s="1"/>
  <c r="O37" i="18"/>
  <c r="O45" i="18"/>
  <c r="O46" i="18"/>
  <c r="P46" i="18"/>
  <c r="P37" i="18"/>
  <c r="Q12" i="18"/>
  <c r="K23" i="18"/>
  <c r="K31" i="18" s="1"/>
  <c r="V42" i="18"/>
  <c r="V40" i="18" s="1"/>
  <c r="V38" i="18"/>
  <c r="K26" i="18"/>
  <c r="K33" i="18" s="1"/>
  <c r="L32" i="18"/>
  <c r="J32" i="18"/>
  <c r="N32" i="18"/>
  <c r="H60" i="18"/>
  <c r="F27" i="18"/>
  <c r="F34" i="18" s="1"/>
  <c r="F30" i="18" s="1"/>
  <c r="M23" i="18"/>
  <c r="M31" i="18" s="1"/>
  <c r="M32" i="18"/>
  <c r="V22" i="18"/>
  <c r="W22" i="18"/>
  <c r="G23" i="18"/>
  <c r="G31" i="18" s="1"/>
  <c r="E31" i="18"/>
  <c r="I23" i="18"/>
  <c r="I31" i="18" s="1"/>
  <c r="I32" i="18"/>
  <c r="V20" i="18"/>
  <c r="W20" i="18"/>
  <c r="E27" i="18"/>
  <c r="E34" i="18" s="1"/>
  <c r="W41" i="18"/>
  <c r="W40" i="18" s="1"/>
  <c r="V36" i="18"/>
  <c r="H32" i="18"/>
  <c r="H23" i="18"/>
  <c r="H31" i="18" s="1"/>
  <c r="O27" i="18" l="1"/>
  <c r="O34" i="18" s="1"/>
  <c r="O47" i="18"/>
  <c r="X18" i="18"/>
  <c r="P45" i="18"/>
  <c r="P27" i="18"/>
  <c r="P34" i="18" s="1"/>
  <c r="P47" i="18"/>
  <c r="O36" i="18"/>
  <c r="N28" i="18"/>
  <c r="L28" i="18"/>
  <c r="K28" i="18"/>
  <c r="K25" i="18"/>
  <c r="X10" i="18"/>
  <c r="J28" i="18"/>
  <c r="X20" i="18"/>
  <c r="O32" i="18"/>
  <c r="O23" i="18"/>
  <c r="O31" i="18" s="1"/>
  <c r="X22" i="18"/>
  <c r="H28" i="18"/>
  <c r="P32" i="18"/>
  <c r="P23" i="18"/>
  <c r="P31" i="18" s="1"/>
  <c r="M28" i="18"/>
  <c r="I28" i="18"/>
  <c r="X37" i="18"/>
  <c r="X21" i="18"/>
  <c r="Q37" i="18"/>
  <c r="Q45" i="18"/>
  <c r="Q47" i="18"/>
  <c r="Q46" i="18"/>
  <c r="X6" i="18"/>
  <c r="F53" i="18"/>
  <c r="N26" i="18"/>
  <c r="J33" i="18"/>
  <c r="L26" i="18"/>
  <c r="L33" i="18" s="1"/>
  <c r="E30" i="18"/>
  <c r="W45" i="18"/>
  <c r="C20" i="21" s="1"/>
  <c r="V45" i="18"/>
  <c r="F28" i="18"/>
  <c r="W19" i="18"/>
  <c r="X19" i="18"/>
  <c r="V19" i="18"/>
  <c r="I60" i="18"/>
  <c r="H62" i="18"/>
  <c r="M26" i="18"/>
  <c r="H33" i="18"/>
  <c r="V23" i="18"/>
  <c r="W23" i="18"/>
  <c r="I33" i="18"/>
  <c r="E28" i="18"/>
  <c r="W24" i="18"/>
  <c r="V24" i="18"/>
  <c r="O26" i="18" l="1"/>
  <c r="N25" i="18"/>
  <c r="N33" i="18"/>
  <c r="N30" i="18" s="1"/>
  <c r="M25" i="18"/>
  <c r="M33" i="18"/>
  <c r="M30" i="18" s="1"/>
  <c r="M53" i="18" s="1"/>
  <c r="M55" i="18" s="1"/>
  <c r="G33" i="18"/>
  <c r="G30" i="18" s="1"/>
  <c r="T9" i="18"/>
  <c r="P40" i="18"/>
  <c r="X24" i="18"/>
  <c r="Q36" i="18"/>
  <c r="X45" i="18"/>
  <c r="E20" i="21" s="1"/>
  <c r="H30" i="18"/>
  <c r="H53" i="18" s="1"/>
  <c r="H55" i="18" s="1"/>
  <c r="J30" i="18"/>
  <c r="J53" i="18" s="1"/>
  <c r="J55" i="18" s="1"/>
  <c r="P36" i="18"/>
  <c r="L25" i="18"/>
  <c r="L30" i="18"/>
  <c r="L53" i="18" s="1"/>
  <c r="L55" i="18" s="1"/>
  <c r="I30" i="18"/>
  <c r="I53" i="18" s="1"/>
  <c r="I55" i="18" s="1"/>
  <c r="P26" i="18"/>
  <c r="X32" i="18"/>
  <c r="E17" i="21" s="1"/>
  <c r="K30" i="18"/>
  <c r="Q40" i="18"/>
  <c r="X42" i="18"/>
  <c r="O28" i="18"/>
  <c r="P28" i="18"/>
  <c r="X23" i="18"/>
  <c r="S12" i="18"/>
  <c r="Y12" i="18" s="1"/>
  <c r="R12" i="18"/>
  <c r="Q27" i="18"/>
  <c r="Q34" i="18" s="1"/>
  <c r="Q23" i="18"/>
  <c r="Q31" i="18" s="1"/>
  <c r="Q32" i="18"/>
  <c r="G28" i="18"/>
  <c r="V28" i="18" s="1"/>
  <c r="X46" i="18"/>
  <c r="E21" i="21" s="1"/>
  <c r="F64" i="18"/>
  <c r="X27" i="18"/>
  <c r="W27" i="18"/>
  <c r="V27" i="18"/>
  <c r="J60" i="18"/>
  <c r="I62" i="18"/>
  <c r="X31" i="18"/>
  <c r="E16" i="21" s="1"/>
  <c r="W31" i="18"/>
  <c r="C16" i="21" s="1"/>
  <c r="V31" i="18"/>
  <c r="W38" i="18"/>
  <c r="W36" i="18"/>
  <c r="C14" i="21" s="1"/>
  <c r="W47" i="18"/>
  <c r="C22" i="21" s="1"/>
  <c r="V47" i="18"/>
  <c r="X47" i="18"/>
  <c r="E22" i="21" s="1"/>
  <c r="X41" i="18"/>
  <c r="W26" i="18"/>
  <c r="V26" i="18"/>
  <c r="W32" i="18"/>
  <c r="C17" i="21" s="1"/>
  <c r="V32" i="18"/>
  <c r="H64" i="18" l="1"/>
  <c r="H66" i="18" s="1"/>
  <c r="P25" i="18"/>
  <c r="P33" i="18"/>
  <c r="P30" i="18" s="1"/>
  <c r="O25" i="18"/>
  <c r="O33" i="18"/>
  <c r="O30" i="18" s="1"/>
  <c r="X40" i="18"/>
  <c r="W25" i="18"/>
  <c r="I64" i="18"/>
  <c r="I66" i="18" s="1"/>
  <c r="V25" i="18"/>
  <c r="X26" i="18"/>
  <c r="S23" i="18"/>
  <c r="S31" i="18" s="1"/>
  <c r="R40" i="18"/>
  <c r="S46" i="18"/>
  <c r="Q28" i="18"/>
  <c r="R45" i="18"/>
  <c r="R37" i="18"/>
  <c r="R36" i="18" s="1"/>
  <c r="R47" i="18"/>
  <c r="R46" i="18"/>
  <c r="Q26" i="18"/>
  <c r="Q33" i="18" s="1"/>
  <c r="T10" i="18"/>
  <c r="W28" i="18"/>
  <c r="X28" i="18"/>
  <c r="N53" i="18"/>
  <c r="N55" i="18" s="1"/>
  <c r="K53" i="18"/>
  <c r="K55" i="18" s="1"/>
  <c r="W46" i="18"/>
  <c r="C21" i="21" s="1"/>
  <c r="V46" i="18"/>
  <c r="K60" i="18"/>
  <c r="J64" i="18"/>
  <c r="J62" i="18"/>
  <c r="E53" i="18"/>
  <c r="X38" i="18"/>
  <c r="X36" i="18"/>
  <c r="E14" i="21" s="1"/>
  <c r="W33" i="18"/>
  <c r="C19" i="21" s="1"/>
  <c r="V33" i="18"/>
  <c r="G53" i="18"/>
  <c r="W30" i="18"/>
  <c r="V30" i="18"/>
  <c r="X25" i="18" l="1"/>
  <c r="X33" i="18"/>
  <c r="E19" i="21" s="1"/>
  <c r="Y18" i="18"/>
  <c r="S45" i="18"/>
  <c r="S27" i="18"/>
  <c r="S34" i="18" s="1"/>
  <c r="S47" i="18"/>
  <c r="S37" i="18"/>
  <c r="T21" i="18"/>
  <c r="Z85" i="18" s="1"/>
  <c r="Y21" i="18"/>
  <c r="X30" i="18"/>
  <c r="Y10" i="18"/>
  <c r="S32" i="18"/>
  <c r="T19" i="18"/>
  <c r="Y19" i="18"/>
  <c r="T18" i="18"/>
  <c r="Q25" i="18"/>
  <c r="R32" i="18"/>
  <c r="R23" i="18"/>
  <c r="R31" i="18" s="1"/>
  <c r="Y22" i="18"/>
  <c r="T22" i="18"/>
  <c r="R27" i="18"/>
  <c r="R34" i="18" s="1"/>
  <c r="T20" i="18"/>
  <c r="Y20" i="18"/>
  <c r="V34" i="18"/>
  <c r="P53" i="18"/>
  <c r="P55" i="18" s="1"/>
  <c r="W34" i="18"/>
  <c r="C18" i="21" s="1"/>
  <c r="X34" i="18"/>
  <c r="E18" i="21" s="1"/>
  <c r="K64" i="18"/>
  <c r="O53" i="18"/>
  <c r="O55" i="18" s="1"/>
  <c r="J66" i="18"/>
  <c r="K62" i="18"/>
  <c r="L60" i="18"/>
  <c r="G64" i="18"/>
  <c r="E64" i="18"/>
  <c r="S40" i="18" l="1"/>
  <c r="T40" i="18" s="1"/>
  <c r="S36" i="18"/>
  <c r="T37" i="18"/>
  <c r="AB85" i="18" s="1"/>
  <c r="Y37" i="18"/>
  <c r="Y6" i="18"/>
  <c r="T6" i="18"/>
  <c r="T38" i="18"/>
  <c r="AB86" i="18" s="1"/>
  <c r="Y38" i="18"/>
  <c r="Y41" i="18"/>
  <c r="T41" i="18"/>
  <c r="Q30" i="18"/>
  <c r="S26" i="18"/>
  <c r="S28" i="18"/>
  <c r="R26" i="18"/>
  <c r="R33" i="18" s="1"/>
  <c r="T24" i="18"/>
  <c r="Y24" i="18"/>
  <c r="T46" i="18"/>
  <c r="Y46" i="18"/>
  <c r="G21" i="21" s="1"/>
  <c r="T47" i="18"/>
  <c r="Y47" i="18"/>
  <c r="G22" i="21" s="1"/>
  <c r="Y27" i="18"/>
  <c r="T27" i="18"/>
  <c r="Y45" i="18"/>
  <c r="G20" i="21" s="1"/>
  <c r="T45" i="18"/>
  <c r="R28" i="18"/>
  <c r="T23" i="18"/>
  <c r="Y23" i="18"/>
  <c r="AB83" i="18"/>
  <c r="Z83" i="18"/>
  <c r="K66" i="18"/>
  <c r="L64" i="18"/>
  <c r="L62" i="18"/>
  <c r="M60" i="18"/>
  <c r="H73" i="18"/>
  <c r="S25" i="18" l="1"/>
  <c r="S33" i="18"/>
  <c r="S30" i="18" s="1"/>
  <c r="S53" i="18" s="1"/>
  <c r="S55" i="18" s="1"/>
  <c r="T32" i="18"/>
  <c r="Y42" i="18"/>
  <c r="Y40" i="18" s="1"/>
  <c r="T42" i="18"/>
  <c r="Y32" i="18"/>
  <c r="G17" i="21" s="1"/>
  <c r="T31" i="18"/>
  <c r="T36" i="18"/>
  <c r="Y36" i="18"/>
  <c r="G14" i="21" s="1"/>
  <c r="T34" i="18"/>
  <c r="Y34" i="18"/>
  <c r="G18" i="21" s="1"/>
  <c r="Y31" i="18"/>
  <c r="G16" i="21" s="1"/>
  <c r="Q53" i="18"/>
  <c r="T28" i="18"/>
  <c r="Z82" i="18" s="1"/>
  <c r="Y28" i="18"/>
  <c r="R25" i="18"/>
  <c r="Y26" i="18"/>
  <c r="T26" i="18"/>
  <c r="L66" i="18"/>
  <c r="N60" i="18"/>
  <c r="M62" i="18"/>
  <c r="M64" i="18"/>
  <c r="Q55" i="18" l="1"/>
  <c r="R30" i="18"/>
  <c r="T30" i="18" s="1"/>
  <c r="AB82" i="18" s="1"/>
  <c r="Y33" i="18"/>
  <c r="G19" i="21" s="1"/>
  <c r="T33" i="18"/>
  <c r="Y25" i="18"/>
  <c r="T25" i="18"/>
  <c r="M66" i="18"/>
  <c r="N62" i="18"/>
  <c r="O60" i="18"/>
  <c r="N64" i="18"/>
  <c r="R53" i="18" l="1"/>
  <c r="Y30" i="18"/>
  <c r="N66" i="18"/>
  <c r="O62" i="18"/>
  <c r="P60" i="18"/>
  <c r="O64" i="18"/>
  <c r="R55" i="18" l="1"/>
  <c r="T53" i="18"/>
  <c r="O66" i="18"/>
  <c r="Q60" i="18"/>
  <c r="P62" i="18"/>
  <c r="P64" i="18"/>
  <c r="P66" i="18" l="1"/>
  <c r="Q64" i="18"/>
  <c r="Q62" i="18"/>
  <c r="R60" i="18"/>
  <c r="R62" i="18" l="1"/>
  <c r="S60" i="18"/>
  <c r="R64" i="18"/>
  <c r="Q66" i="18"/>
  <c r="R66" i="18" l="1"/>
  <c r="S62" i="18"/>
  <c r="S64" i="18"/>
  <c r="T64" i="18" s="1"/>
  <c r="S66" i="18" l="1"/>
  <c r="C4" i="10"/>
  <c r="D4" i="10" s="1"/>
  <c r="E4" i="10" s="1"/>
  <c r="F4" i="10" s="1"/>
  <c r="G4" i="10" s="1"/>
  <c r="H4" i="10" s="1"/>
  <c r="I4" i="10" s="1"/>
  <c r="J4" i="10" s="1"/>
  <c r="K4" i="10" s="1"/>
  <c r="L4" i="10" s="1"/>
  <c r="M4" i="10" s="1"/>
  <c r="N4" i="10" s="1"/>
  <c r="O4" i="10" s="1"/>
  <c r="P4" i="10" s="1"/>
  <c r="C3" i="10"/>
  <c r="D3" i="10" s="1"/>
  <c r="E3" i="10" s="1"/>
  <c r="F3" i="10" s="1"/>
  <c r="G3" i="10" s="1"/>
  <c r="H3" i="10" s="1"/>
  <c r="I3" i="10" s="1"/>
  <c r="J3" i="10" s="1"/>
  <c r="K3" i="10" s="1"/>
  <c r="L3" i="10" s="1"/>
  <c r="M3" i="10" s="1"/>
  <c r="N3" i="10" s="1"/>
  <c r="O3" i="10" s="1"/>
  <c r="P3" i="10" s="1"/>
  <c r="E34" i="2" l="1"/>
  <c r="D78" i="1" l="1"/>
  <c r="J10" i="2"/>
  <c r="O10" i="2"/>
  <c r="J15" i="2"/>
  <c r="O15" i="2"/>
  <c r="J16" i="2"/>
  <c r="O16"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11" i="5"/>
  <c r="F11" i="5"/>
  <c r="G11" i="5"/>
  <c r="H11" i="5"/>
  <c r="I11" i="5"/>
  <c r="J11" i="5"/>
  <c r="K11" i="5"/>
  <c r="L11" i="5"/>
  <c r="M11" i="5"/>
  <c r="N11" i="5"/>
  <c r="O11" i="5"/>
  <c r="P11" i="5"/>
  <c r="Q11" i="5"/>
  <c r="R11"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47" i="5"/>
  <c r="D24" i="5"/>
  <c r="D23" i="5"/>
  <c r="D20" i="5"/>
  <c r="D19" i="5"/>
  <c r="D16" i="5"/>
  <c r="D15" i="5"/>
  <c r="D11" i="5"/>
  <c r="D7" i="5"/>
  <c r="A92" i="4"/>
  <c r="A116" i="4"/>
  <c r="A104" i="4"/>
  <c r="A94" i="4"/>
  <c r="A82" i="4"/>
  <c r="A58" i="4"/>
  <c r="E104" i="1"/>
  <c r="F104" i="1"/>
  <c r="G104" i="1"/>
  <c r="H104" i="1"/>
  <c r="I104" i="1"/>
  <c r="J104" i="1"/>
  <c r="K104" i="1"/>
  <c r="L104" i="1"/>
  <c r="E78" i="1"/>
  <c r="E79" i="1" s="1"/>
  <c r="F78" i="1"/>
  <c r="F79" i="1" s="1"/>
  <c r="G78" i="1"/>
  <c r="G79" i="1" s="1"/>
  <c r="H78" i="1"/>
  <c r="H79" i="1" s="1"/>
  <c r="I78" i="1"/>
  <c r="I79" i="1" s="1"/>
  <c r="J78" i="1"/>
  <c r="J79" i="1" s="1"/>
  <c r="K78" i="1"/>
  <c r="K79" i="1" s="1"/>
  <c r="L78" i="1"/>
  <c r="L79" i="1" s="1"/>
  <c r="M78" i="1"/>
  <c r="M79" i="1" s="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D3" i="1"/>
  <c r="E3" i="18" s="1"/>
  <c r="E50" i="18" s="1"/>
  <c r="A47" i="2"/>
  <c r="A45" i="2"/>
  <c r="A43" i="2"/>
  <c r="A34" i="2"/>
  <c r="C3" i="11" l="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G80" i="1"/>
  <c r="L80" i="1"/>
  <c r="D3" i="5"/>
  <c r="E3" i="5" s="1"/>
  <c r="F3" i="5" s="1"/>
  <c r="G3" i="5" s="1"/>
  <c r="H3" i="5" s="1"/>
  <c r="I3" i="5" s="1"/>
  <c r="J3" i="5" s="1"/>
  <c r="K3" i="5" s="1"/>
  <c r="L3" i="5" s="1"/>
  <c r="E3" i="1"/>
  <c r="D3" i="4"/>
  <c r="K80" i="1"/>
  <c r="M80" i="1"/>
  <c r="I80" i="1"/>
  <c r="E80" i="1"/>
  <c r="R17" i="1"/>
  <c r="R21" i="1"/>
  <c r="R25" i="1"/>
  <c r="R29" i="1"/>
  <c r="R33" i="1"/>
  <c r="R37" i="1"/>
  <c r="R41" i="1"/>
  <c r="R45" i="1"/>
  <c r="R104" i="1"/>
  <c r="F3" i="1" l="1"/>
  <c r="F3" i="18"/>
  <c r="F50" i="18" s="1"/>
  <c r="D3" i="11"/>
  <c r="E3" i="11" s="1"/>
  <c r="F3" i="11" s="1"/>
  <c r="G3" i="11" s="1"/>
  <c r="H3" i="11" s="1"/>
  <c r="I3" i="11" s="1"/>
  <c r="J3" i="11" s="1"/>
  <c r="K3" i="11" s="1"/>
  <c r="L3" i="11" s="1"/>
  <c r="M3" i="11" s="1"/>
  <c r="N3" i="11" s="1"/>
  <c r="O3" i="11" s="1"/>
  <c r="P3" i="11" s="1"/>
  <c r="Q3" i="11" s="1"/>
  <c r="J80" i="1"/>
  <c r="H80" i="1"/>
  <c r="F80" i="1"/>
  <c r="R58" i="5"/>
  <c r="R60" i="5"/>
  <c r="R62" i="5"/>
  <c r="R63" i="5"/>
  <c r="R64" i="5"/>
  <c r="R65" i="5"/>
  <c r="R66" i="5"/>
  <c r="R67" i="5"/>
  <c r="R68" i="5"/>
  <c r="R69" i="5"/>
  <c r="R70" i="5"/>
  <c r="R71" i="5"/>
  <c r="R72" i="5"/>
  <c r="R73" i="5"/>
  <c r="R74" i="5"/>
  <c r="R75" i="5"/>
  <c r="R76" i="5"/>
  <c r="R77" i="5"/>
  <c r="R85" i="5"/>
  <c r="R86" i="5"/>
  <c r="R87" i="5"/>
  <c r="R88" i="5"/>
  <c r="R89" i="5"/>
  <c r="R90" i="5"/>
  <c r="R91" i="5"/>
  <c r="R94" i="5"/>
  <c r="R95" i="5"/>
  <c r="R96" i="5"/>
  <c r="R97" i="5"/>
  <c r="R98" i="5"/>
  <c r="R99" i="5"/>
  <c r="R100" i="5"/>
  <c r="R101" i="5"/>
  <c r="R102" i="5"/>
  <c r="R103" i="5"/>
  <c r="R106" i="5"/>
  <c r="R109" i="5"/>
  <c r="R110" i="5"/>
  <c r="R111" i="5"/>
  <c r="R112" i="5"/>
  <c r="R113" i="5"/>
  <c r="R114" i="5"/>
  <c r="R115" i="5"/>
  <c r="L58" i="5"/>
  <c r="M58" i="5"/>
  <c r="N58" i="5"/>
  <c r="O58" i="5"/>
  <c r="P58" i="5"/>
  <c r="Q58" i="5"/>
  <c r="L59" i="5"/>
  <c r="M59" i="5"/>
  <c r="N59" i="5"/>
  <c r="O59" i="5"/>
  <c r="P59" i="5"/>
  <c r="L60" i="5"/>
  <c r="M60" i="5"/>
  <c r="N60" i="5"/>
  <c r="O60" i="5"/>
  <c r="P60" i="5"/>
  <c r="Q60" i="5"/>
  <c r="L61" i="5"/>
  <c r="M61" i="5"/>
  <c r="N61" i="5"/>
  <c r="O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G3" i="1" l="1"/>
  <c r="G3" i="18"/>
  <c r="P61" i="5"/>
  <c r="Q53" i="4"/>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G50" i="18" l="1"/>
  <c r="H3" i="1"/>
  <c r="H3" i="18"/>
  <c r="Q61" i="5"/>
  <c r="Q59" i="5"/>
  <c r="D28" i="2"/>
  <c r="J47" i="2"/>
  <c r="J45" i="2"/>
  <c r="I43" i="2"/>
  <c r="I49" i="2" s="1"/>
  <c r="H43" i="2"/>
  <c r="H49" i="2" s="1"/>
  <c r="G43" i="2"/>
  <c r="G49" i="2" s="1"/>
  <c r="F43" i="2"/>
  <c r="F49" i="2" s="1"/>
  <c r="E49" i="2"/>
  <c r="D43" i="2"/>
  <c r="D49" i="2" s="1"/>
  <c r="J42" i="2"/>
  <c r="J41" i="2"/>
  <c r="J36" i="2"/>
  <c r="J35" i="2"/>
  <c r="J34" i="2"/>
  <c r="J32" i="2"/>
  <c r="J30" i="2"/>
  <c r="E28" i="2"/>
  <c r="F28" i="2" s="1"/>
  <c r="G28" i="2" s="1"/>
  <c r="H28" i="2" s="1"/>
  <c r="I28" i="2" s="1"/>
  <c r="O9" i="2"/>
  <c r="O4" i="2"/>
  <c r="J9" i="2"/>
  <c r="J8" i="2"/>
  <c r="E23" i="2"/>
  <c r="D47" i="11" s="1"/>
  <c r="F17" i="2"/>
  <c r="F23" i="2" s="1"/>
  <c r="G17" i="2"/>
  <c r="G23" i="2" s="1"/>
  <c r="H17" i="2"/>
  <c r="H23" i="2" s="1"/>
  <c r="G47" i="11" s="1"/>
  <c r="I17" i="2"/>
  <c r="I23" i="2" s="1"/>
  <c r="D17" i="2"/>
  <c r="D23" i="2" s="1"/>
  <c r="H50" i="18" l="1"/>
  <c r="I3" i="1"/>
  <c r="I3" i="18"/>
  <c r="R61" i="5"/>
  <c r="R78" i="1"/>
  <c r="R59" i="5"/>
  <c r="F51" i="18"/>
  <c r="F62" i="18" s="1"/>
  <c r="D7" i="8"/>
  <c r="G51" i="18"/>
  <c r="G62" i="18" s="1"/>
  <c r="G66" i="18" s="1"/>
  <c r="E7" i="8"/>
  <c r="E51" i="18"/>
  <c r="E62" i="18" s="1"/>
  <c r="E66" i="18" s="1"/>
  <c r="E68" i="18" s="1"/>
  <c r="C7" i="8"/>
  <c r="E25" i="8"/>
  <c r="E47" i="11"/>
  <c r="H25" i="8"/>
  <c r="H47" i="11"/>
  <c r="C25" i="8"/>
  <c r="C47" i="11"/>
  <c r="F25" i="8"/>
  <c r="F47" i="11"/>
  <c r="J49" i="2"/>
  <c r="C16" i="7" s="1"/>
  <c r="H52" i="2"/>
  <c r="G25" i="8"/>
  <c r="I52" i="2"/>
  <c r="G52" i="2"/>
  <c r="E52" i="2"/>
  <c r="D25" i="8"/>
  <c r="F52" i="2"/>
  <c r="J23" i="2"/>
  <c r="D52" i="2"/>
  <c r="J4" i="2"/>
  <c r="O19" i="2"/>
  <c r="J19" i="2"/>
  <c r="O21" i="2"/>
  <c r="O8" i="2"/>
  <c r="O6" i="2"/>
  <c r="C6" i="7"/>
  <c r="E55" i="18" l="1"/>
  <c r="E57" i="18" s="1"/>
  <c r="I50" i="18"/>
  <c r="J3" i="1"/>
  <c r="J3" i="18"/>
  <c r="R79" i="1"/>
  <c r="R80" i="1" s="1"/>
  <c r="T51" i="18"/>
  <c r="G55" i="18"/>
  <c r="F55" i="18"/>
  <c r="F66" i="18"/>
  <c r="T62" i="18"/>
  <c r="D74" i="18" s="1"/>
  <c r="C5" i="21" s="1"/>
  <c r="K49" i="2"/>
  <c r="C9" i="7"/>
  <c r="O23" i="2"/>
  <c r="O25" i="2" s="1"/>
  <c r="R3" i="13" s="1"/>
  <c r="C6" i="21" l="1"/>
  <c r="I5" i="21" s="1"/>
  <c r="J50" i="18"/>
  <c r="K3" i="1"/>
  <c r="K3" i="18"/>
  <c r="T55" i="18"/>
  <c r="F57" i="18"/>
  <c r="G57" i="18" s="1"/>
  <c r="H57" i="18" s="1"/>
  <c r="I57" i="18" s="1"/>
  <c r="J57" i="18" s="1"/>
  <c r="K57" i="18" s="1"/>
  <c r="L57" i="18" s="1"/>
  <c r="M57" i="18" s="1"/>
  <c r="N57" i="18" s="1"/>
  <c r="O57" i="18" s="1"/>
  <c r="P57" i="18" s="1"/>
  <c r="Q57" i="18" s="1"/>
  <c r="R57" i="18" s="1"/>
  <c r="S57" i="18" s="1"/>
  <c r="F68" i="18"/>
  <c r="T66" i="18"/>
  <c r="J21" i="2"/>
  <c r="J6" i="2"/>
  <c r="E2" i="2"/>
  <c r="F2" i="2" s="1"/>
  <c r="G2" i="2" s="1"/>
  <c r="H2" i="2" s="1"/>
  <c r="I2" i="2" s="1"/>
  <c r="G78" i="18" l="1"/>
  <c r="G73" i="18"/>
  <c r="L3" i="1"/>
  <c r="L3" i="18"/>
  <c r="K50" i="18"/>
  <c r="G68" i="18"/>
  <c r="H68" i="18" s="1"/>
  <c r="I68" i="18" s="1"/>
  <c r="J68" i="18" s="1"/>
  <c r="K68" i="18" s="1"/>
  <c r="L68" i="18" s="1"/>
  <c r="M68" i="18" s="1"/>
  <c r="N68" i="18" s="1"/>
  <c r="O68" i="18" s="1"/>
  <c r="P68" i="18" s="1"/>
  <c r="Q68" i="18" s="1"/>
  <c r="R68" i="18" s="1"/>
  <c r="S68" i="18"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B7" i="4"/>
  <c r="R116" i="4"/>
  <c r="P116" i="4"/>
  <c r="O116" i="4"/>
  <c r="N116" i="4"/>
  <c r="M116" i="4"/>
  <c r="L116" i="4"/>
  <c r="K116" i="4"/>
  <c r="J116" i="4"/>
  <c r="I116" i="4"/>
  <c r="H116" i="4"/>
  <c r="G116" i="4"/>
  <c r="F116" i="4"/>
  <c r="E116" i="4"/>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J92" i="4"/>
  <c r="I92" i="4"/>
  <c r="H92" i="4"/>
  <c r="G92" i="4"/>
  <c r="F92" i="4"/>
  <c r="E92" i="4"/>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K45" i="4"/>
  <c r="J45" i="4"/>
  <c r="I45" i="4"/>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P13" i="4"/>
  <c r="O13" i="4"/>
  <c r="N13" i="4"/>
  <c r="M13" i="4"/>
  <c r="L13" i="4"/>
  <c r="K13" i="4"/>
  <c r="J13" i="4"/>
  <c r="I13" i="4"/>
  <c r="H13" i="4"/>
  <c r="G13" i="4"/>
  <c r="F13" i="4"/>
  <c r="E13" i="4"/>
  <c r="D13" i="4"/>
  <c r="R9" i="4"/>
  <c r="P9" i="4"/>
  <c r="O9" i="4"/>
  <c r="N9" i="4"/>
  <c r="M9" i="4"/>
  <c r="L9" i="4"/>
  <c r="K9" i="4"/>
  <c r="J9" i="4"/>
  <c r="I9" i="4"/>
  <c r="H9" i="4"/>
  <c r="G9" i="4"/>
  <c r="F9" i="4"/>
  <c r="E9" i="4"/>
  <c r="D9" i="4"/>
  <c r="L50" i="18" l="1"/>
  <c r="M3" i="1"/>
  <c r="M3" i="18"/>
  <c r="D76" i="18"/>
  <c r="C7" i="21" s="1"/>
  <c r="T68" i="18"/>
  <c r="D73" i="18" s="1"/>
  <c r="C4" i="21" s="1"/>
  <c r="E78" i="5"/>
  <c r="E79" i="4"/>
  <c r="E79" i="5" s="1"/>
  <c r="I78" i="5"/>
  <c r="I79" i="4"/>
  <c r="I79" i="5" s="1"/>
  <c r="F78" i="5"/>
  <c r="F79" i="4"/>
  <c r="F79" i="5" s="1"/>
  <c r="J78" i="5"/>
  <c r="J79" i="4"/>
  <c r="J79" i="5" s="1"/>
  <c r="G78" i="5"/>
  <c r="G79" i="4"/>
  <c r="G79" i="5" s="1"/>
  <c r="K78" i="5"/>
  <c r="K79" i="4"/>
  <c r="H78" i="5"/>
  <c r="H79" i="4"/>
  <c r="H79" i="5" s="1"/>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104" i="5"/>
  <c r="L104" i="5"/>
  <c r="M104" i="1"/>
  <c r="M104" i="5" s="1"/>
  <c r="N104" i="1"/>
  <c r="N104" i="5" s="1"/>
  <c r="O104" i="1"/>
  <c r="O104" i="5" s="1"/>
  <c r="P104" i="1"/>
  <c r="P104" i="5" s="1"/>
  <c r="Q104" i="1"/>
  <c r="Q104" i="5" s="1"/>
  <c r="R104" i="5"/>
  <c r="L78" i="5"/>
  <c r="M78" i="5"/>
  <c r="N78" i="1"/>
  <c r="N79" i="1" s="1"/>
  <c r="O78" i="1"/>
  <c r="O79" i="1" s="1"/>
  <c r="P78" i="1"/>
  <c r="P79" i="1" s="1"/>
  <c r="Q78" i="1"/>
  <c r="Q79" i="1" s="1"/>
  <c r="R78" i="5"/>
  <c r="M79" i="5"/>
  <c r="D45" i="1"/>
  <c r="D45" i="5" s="1"/>
  <c r="M45" i="1"/>
  <c r="M45" i="5" s="1"/>
  <c r="N45" i="1"/>
  <c r="N45" i="5" s="1"/>
  <c r="O45" i="1"/>
  <c r="O45" i="5" s="1"/>
  <c r="P45" i="1"/>
  <c r="P45" i="5" s="1"/>
  <c r="Q45" i="1"/>
  <c r="Q45"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M50" i="18" l="1"/>
  <c r="N3" i="1"/>
  <c r="N3" i="18"/>
  <c r="D78" i="5"/>
  <c r="D79" i="1"/>
  <c r="D79" i="5" s="1"/>
  <c r="Q78" i="5"/>
  <c r="Q79" i="5"/>
  <c r="N78" i="5"/>
  <c r="N79" i="5"/>
  <c r="P78" i="5"/>
  <c r="P80" i="1"/>
  <c r="P80" i="5" s="1"/>
  <c r="O78" i="5"/>
  <c r="O79" i="5"/>
  <c r="P121" i="4"/>
  <c r="N121" i="4"/>
  <c r="R79" i="5"/>
  <c r="L121" i="4"/>
  <c r="K80" i="4"/>
  <c r="K79" i="5"/>
  <c r="L79" i="5"/>
  <c r="J80" i="4"/>
  <c r="J80" i="5" s="1"/>
  <c r="F80" i="4"/>
  <c r="I80" i="4"/>
  <c r="I80" i="5" s="1"/>
  <c r="E80" i="4"/>
  <c r="E80" i="5" s="1"/>
  <c r="H80" i="4"/>
  <c r="H80" i="5" s="1"/>
  <c r="D80" i="4"/>
  <c r="D118" i="4" s="1"/>
  <c r="D121" i="4" s="1"/>
  <c r="D124" i="4" s="1"/>
  <c r="G80" i="4"/>
  <c r="G80"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R80" i="5"/>
  <c r="M80" i="5"/>
  <c r="N50" i="18" l="1"/>
  <c r="O3" i="1"/>
  <c r="O3" i="18"/>
  <c r="O80" i="1"/>
  <c r="O80" i="5" s="1"/>
  <c r="P79" i="5"/>
  <c r="N80" i="1"/>
  <c r="N80" i="5" s="1"/>
  <c r="Q80" i="1"/>
  <c r="Q80" i="5" s="1"/>
  <c r="F118" i="4"/>
  <c r="F121" i="4" s="1"/>
  <c r="F80" i="5"/>
  <c r="K118" i="4"/>
  <c r="K121" i="4" s="1"/>
  <c r="K80" i="5"/>
  <c r="G118" i="4"/>
  <c r="G121" i="4" s="1"/>
  <c r="H118" i="4"/>
  <c r="H121" i="4" s="1"/>
  <c r="E118" i="4"/>
  <c r="E121" i="4" s="1"/>
  <c r="E124" i="4" s="1"/>
  <c r="I118" i="4"/>
  <c r="I121" i="4" s="1"/>
  <c r="J118" i="4"/>
  <c r="J121" i="4" s="1"/>
  <c r="D80" i="1"/>
  <c r="D80" i="5" s="1"/>
  <c r="O50" i="18" l="1"/>
  <c r="P3" i="1"/>
  <c r="P3" i="18"/>
  <c r="F124" i="4"/>
  <c r="G124" i="4" s="1"/>
  <c r="H124" i="4" s="1"/>
  <c r="I124" i="4" s="1"/>
  <c r="J124" i="4" s="1"/>
  <c r="K124" i="4" s="1"/>
  <c r="L124" i="4" s="1"/>
  <c r="M124" i="4" s="1"/>
  <c r="N124" i="4" s="1"/>
  <c r="O124" i="4" s="1"/>
  <c r="P124" i="4" s="1"/>
  <c r="Q124" i="4" s="1"/>
  <c r="R124" i="4" s="1"/>
  <c r="Q3" i="1" l="1"/>
  <c r="Q3" i="18"/>
  <c r="Q50" i="18" s="1"/>
  <c r="P50" i="18"/>
  <c r="D9" i="7"/>
  <c r="J17" i="2"/>
  <c r="R3" i="1" l="1"/>
  <c r="R3" i="18"/>
  <c r="R50" i="18" s="1"/>
  <c r="J52" i="2"/>
  <c r="K52" i="2" s="1"/>
  <c r="S3" i="18" l="1"/>
  <c r="S50" i="18" s="1"/>
  <c r="S3" i="1"/>
  <c r="D108" i="5"/>
  <c r="E108" i="5" l="1"/>
  <c r="F108" i="5" l="1"/>
  <c r="G108" i="5" l="1"/>
  <c r="H108" i="5" l="1"/>
  <c r="I108" i="5" l="1"/>
  <c r="J108" i="5" l="1"/>
  <c r="K108" i="5" l="1"/>
  <c r="L108" i="5" l="1"/>
  <c r="M108" i="5" l="1"/>
  <c r="N108" i="5" l="1"/>
  <c r="O108" i="5" l="1"/>
  <c r="P108" i="5" l="1"/>
  <c r="Q108" i="5" l="1"/>
  <c r="R108" i="5" l="1"/>
  <c r="D8" i="5" l="1"/>
  <c r="A7" i="5"/>
  <c r="A7" i="4"/>
  <c r="A11" i="5"/>
  <c r="D9" i="1" l="1"/>
  <c r="D9" i="5" s="1"/>
  <c r="F9" i="1"/>
  <c r="A11" i="4"/>
  <c r="F8" i="5" l="1"/>
  <c r="G9" i="1"/>
  <c r="E8" i="5"/>
  <c r="E9" i="1"/>
  <c r="E9" i="5" s="1"/>
  <c r="F9" i="5"/>
  <c r="G8" i="5" l="1"/>
  <c r="G9" i="5"/>
  <c r="H9" i="1" l="1"/>
  <c r="H9" i="5" s="1"/>
  <c r="H8" i="5"/>
  <c r="I8" i="5" l="1"/>
  <c r="I9" i="1"/>
  <c r="I9" i="5" s="1"/>
  <c r="J9" i="1"/>
  <c r="J8" i="5"/>
  <c r="D83" i="5" l="1"/>
  <c r="D84" i="5"/>
  <c r="E83" i="5"/>
  <c r="D82" i="5"/>
  <c r="D92" i="1"/>
  <c r="J9" i="5"/>
  <c r="K8" i="5"/>
  <c r="K9" i="1"/>
  <c r="E84" i="5" l="1"/>
  <c r="E82" i="5"/>
  <c r="E92" i="1"/>
  <c r="F83" i="5"/>
  <c r="D92" i="5"/>
  <c r="L8" i="5"/>
  <c r="L9" i="1"/>
  <c r="K9" i="5"/>
  <c r="G83" i="5" l="1"/>
  <c r="E92" i="5"/>
  <c r="F82" i="5"/>
  <c r="F92" i="1"/>
  <c r="F84" i="5"/>
  <c r="L9" i="5"/>
  <c r="M9" i="1"/>
  <c r="M8" i="5"/>
  <c r="G82" i="5" l="1"/>
  <c r="G92" i="1"/>
  <c r="F92" i="5"/>
  <c r="G84" i="5"/>
  <c r="H83" i="5"/>
  <c r="M9" i="5"/>
  <c r="N9" i="1"/>
  <c r="N8" i="5"/>
  <c r="I83" i="5" l="1"/>
  <c r="H84" i="5"/>
  <c r="G92" i="5"/>
  <c r="H82" i="5"/>
  <c r="H92" i="1"/>
  <c r="O9" i="1"/>
  <c r="O8" i="5"/>
  <c r="N9" i="5"/>
  <c r="I84" i="5" l="1"/>
  <c r="I82" i="5"/>
  <c r="I92" i="1"/>
  <c r="J83" i="5"/>
  <c r="H92" i="5"/>
  <c r="O9" i="5"/>
  <c r="P9" i="1"/>
  <c r="P8" i="5"/>
  <c r="I92" i="5" l="1"/>
  <c r="J82" i="5"/>
  <c r="J92" i="1"/>
  <c r="K83" i="5"/>
  <c r="J84" i="5"/>
  <c r="P9" i="5"/>
  <c r="Q9" i="1"/>
  <c r="Q8" i="5"/>
  <c r="J92" i="5" l="1"/>
  <c r="L83" i="5"/>
  <c r="K82" i="5"/>
  <c r="K92" i="1"/>
  <c r="K84" i="5"/>
  <c r="Q9" i="5"/>
  <c r="R9" i="1"/>
  <c r="R8" i="5"/>
  <c r="K92" i="5" l="1"/>
  <c r="L82" i="5"/>
  <c r="L92" i="1"/>
  <c r="M83" i="5"/>
  <c r="L84" i="5"/>
  <c r="R9" i="5"/>
  <c r="M84" i="5" l="1"/>
  <c r="N83" i="5"/>
  <c r="M82" i="5"/>
  <c r="M92" i="1"/>
  <c r="L92" i="5"/>
  <c r="M92" i="5" l="1"/>
  <c r="N82" i="5"/>
  <c r="N92" i="1"/>
  <c r="O83" i="5"/>
  <c r="N84" i="5"/>
  <c r="O82" i="5" l="1"/>
  <c r="O92" i="1"/>
  <c r="N92" i="5"/>
  <c r="O84" i="5"/>
  <c r="P83" i="5"/>
  <c r="P84" i="5" l="1"/>
  <c r="R83" i="5"/>
  <c r="Q83" i="5"/>
  <c r="O92" i="5"/>
  <c r="P82" i="5"/>
  <c r="P92" i="1"/>
  <c r="Q82" i="5" l="1"/>
  <c r="Q92" i="1"/>
  <c r="P92" i="5"/>
  <c r="R84" i="5"/>
  <c r="Q84" i="5"/>
  <c r="Q92" i="5" l="1"/>
  <c r="R82" i="5"/>
  <c r="R92" i="1"/>
  <c r="R92" i="5" l="1"/>
  <c r="D12" i="5" l="1"/>
  <c r="D107" i="5"/>
  <c r="D116" i="1"/>
  <c r="I44" i="5" l="1"/>
  <c r="I45" i="1"/>
  <c r="I45" i="5" s="1"/>
  <c r="D13" i="1"/>
  <c r="D53" i="1" s="1"/>
  <c r="D116" i="5"/>
  <c r="D118" i="5" s="1"/>
  <c r="D118" i="1"/>
  <c r="C26" i="8" s="1"/>
  <c r="C33" i="8" s="1"/>
  <c r="E107" i="5"/>
  <c r="E116" i="1"/>
  <c r="J44" i="5" l="1"/>
  <c r="J45" i="1"/>
  <c r="J45" i="5" s="1"/>
  <c r="E13" i="1"/>
  <c r="E53" i="1" s="1"/>
  <c r="D13" i="5"/>
  <c r="D53" i="5" s="1"/>
  <c r="C7" i="11" s="1"/>
  <c r="C11" i="11" s="1"/>
  <c r="E12" i="5"/>
  <c r="F107" i="5"/>
  <c r="F116" i="1"/>
  <c r="E118" i="1"/>
  <c r="D26" i="8" s="1"/>
  <c r="D33" i="8" s="1"/>
  <c r="E116" i="5"/>
  <c r="E118" i="5" s="1"/>
  <c r="F13" i="1"/>
  <c r="F12" i="5"/>
  <c r="D120" i="5"/>
  <c r="C16" i="11"/>
  <c r="C22" i="11" s="1"/>
  <c r="C46" i="11"/>
  <c r="C50" i="11" s="1"/>
  <c r="C13" i="8"/>
  <c r="C20" i="8" s="1"/>
  <c r="C36" i="8" s="1"/>
  <c r="C38" i="8" s="1"/>
  <c r="D121" i="1"/>
  <c r="D124" i="1" s="1"/>
  <c r="K44" i="5" l="1"/>
  <c r="K45" i="1"/>
  <c r="K45" i="5" s="1"/>
  <c r="E13" i="5"/>
  <c r="E53" i="5" s="1"/>
  <c r="E121" i="5" s="1"/>
  <c r="D55" i="5"/>
  <c r="D121" i="5"/>
  <c r="D125" i="5" s="1"/>
  <c r="C39" i="11"/>
  <c r="C41" i="11" s="1"/>
  <c r="C53" i="11" s="1"/>
  <c r="G12" i="5"/>
  <c r="G13" i="1"/>
  <c r="F116" i="5"/>
  <c r="F118" i="5" s="1"/>
  <c r="F118" i="1"/>
  <c r="E26" i="8" s="1"/>
  <c r="E33" i="8" s="1"/>
  <c r="G107" i="5"/>
  <c r="G116" i="1"/>
  <c r="D46" i="11"/>
  <c r="D50" i="11" s="1"/>
  <c r="E120" i="5"/>
  <c r="D16" i="11"/>
  <c r="D22" i="11" s="1"/>
  <c r="E121" i="1"/>
  <c r="E124" i="1" s="1"/>
  <c r="D13" i="8"/>
  <c r="D20" i="8" s="1"/>
  <c r="D36" i="8" s="1"/>
  <c r="D38" i="8" s="1"/>
  <c r="F53" i="1"/>
  <c r="F13" i="5"/>
  <c r="F53" i="5" s="1"/>
  <c r="C25" i="11"/>
  <c r="L44" i="5" l="1"/>
  <c r="L45" i="1"/>
  <c r="L45" i="5" s="1"/>
  <c r="D39" i="11"/>
  <c r="D41" i="11" s="1"/>
  <c r="D53" i="11" s="1"/>
  <c r="D7" i="11"/>
  <c r="D11" i="11" s="1"/>
  <c r="D25" i="11" s="1"/>
  <c r="E55" i="5"/>
  <c r="D123" i="5"/>
  <c r="E123" i="5"/>
  <c r="H107" i="5"/>
  <c r="H116" i="1"/>
  <c r="G116" i="5"/>
  <c r="G118" i="5" s="1"/>
  <c r="G118" i="1"/>
  <c r="H13" i="1"/>
  <c r="H12" i="5"/>
  <c r="E46" i="11"/>
  <c r="E50" i="11" s="1"/>
  <c r="E16" i="11"/>
  <c r="E22" i="11" s="1"/>
  <c r="F120" i="5"/>
  <c r="G53" i="1"/>
  <c r="D36" i="21" s="1"/>
  <c r="K37" i="21" s="1"/>
  <c r="G13" i="5"/>
  <c r="G53" i="5" s="1"/>
  <c r="F121" i="5"/>
  <c r="F55" i="5"/>
  <c r="E39" i="11"/>
  <c r="E41" i="11" s="1"/>
  <c r="E7" i="11"/>
  <c r="E11" i="11" s="1"/>
  <c r="F121" i="1"/>
  <c r="F124" i="1" s="1"/>
  <c r="E13" i="8"/>
  <c r="E20" i="8" s="1"/>
  <c r="E36" i="8" s="1"/>
  <c r="E38" i="8" s="1"/>
  <c r="E125" i="5"/>
  <c r="F26" i="8" l="1"/>
  <c r="F33" i="8" s="1"/>
  <c r="D37" i="21"/>
  <c r="D38" i="21" s="1"/>
  <c r="D39" i="21" s="1"/>
  <c r="F123" i="5"/>
  <c r="E53" i="11"/>
  <c r="E25" i="11"/>
  <c r="H13" i="5"/>
  <c r="H53" i="5" s="1"/>
  <c r="H53" i="1"/>
  <c r="F125" i="5"/>
  <c r="I116" i="1"/>
  <c r="I107" i="5"/>
  <c r="H116" i="5"/>
  <c r="H118" i="5" s="1"/>
  <c r="H118" i="1"/>
  <c r="G26" i="8" s="1"/>
  <c r="G33" i="8" s="1"/>
  <c r="F13" i="8"/>
  <c r="F20" i="8" s="1"/>
  <c r="G121" i="1"/>
  <c r="G124" i="1" s="1"/>
  <c r="G120" i="5"/>
  <c r="F16" i="11"/>
  <c r="F22" i="11" s="1"/>
  <c r="F46" i="11"/>
  <c r="F50" i="11" s="1"/>
  <c r="G121" i="5"/>
  <c r="F39" i="11"/>
  <c r="F41" i="11" s="1"/>
  <c r="G55" i="5"/>
  <c r="F7" i="11"/>
  <c r="F11" i="11" s="1"/>
  <c r="I12" i="5"/>
  <c r="I13" i="1"/>
  <c r="F36" i="8" l="1"/>
  <c r="F38" i="8" s="1"/>
  <c r="F25" i="11"/>
  <c r="G125" i="5"/>
  <c r="F53" i="11"/>
  <c r="H121" i="1"/>
  <c r="H124" i="1" s="1"/>
  <c r="G20" i="8"/>
  <c r="G36" i="8" s="1"/>
  <c r="I53" i="1"/>
  <c r="I13" i="5"/>
  <c r="I53" i="5" s="1"/>
  <c r="H121" i="5"/>
  <c r="G39" i="11"/>
  <c r="G41" i="11" s="1"/>
  <c r="G7" i="11"/>
  <c r="G11" i="11" s="1"/>
  <c r="H55" i="5"/>
  <c r="G46" i="11"/>
  <c r="G50" i="11" s="1"/>
  <c r="H120" i="5"/>
  <c r="G16" i="11"/>
  <c r="G22" i="11" s="1"/>
  <c r="G123" i="5"/>
  <c r="J107" i="5"/>
  <c r="J116" i="1"/>
  <c r="J12" i="5"/>
  <c r="J13" i="1"/>
  <c r="I118" i="1"/>
  <c r="H26" i="8" s="1"/>
  <c r="H33" i="8" s="1"/>
  <c r="I116" i="5"/>
  <c r="I118" i="5" s="1"/>
  <c r="G38" i="8" l="1"/>
  <c r="H125" i="5"/>
  <c r="H123" i="5"/>
  <c r="J53" i="1"/>
  <c r="J13" i="5"/>
  <c r="J53" i="5" s="1"/>
  <c r="K13" i="1"/>
  <c r="K12" i="5"/>
  <c r="G53" i="11"/>
  <c r="J116" i="5"/>
  <c r="J118" i="5" s="1"/>
  <c r="J118" i="1"/>
  <c r="I26" i="8" s="1"/>
  <c r="I33" i="8" s="1"/>
  <c r="H7" i="11"/>
  <c r="H11" i="11" s="1"/>
  <c r="I55" i="5"/>
  <c r="H39" i="11"/>
  <c r="H41" i="11" s="1"/>
  <c r="I121" i="5"/>
  <c r="I121" i="1"/>
  <c r="I124" i="1" s="1"/>
  <c r="H20" i="8"/>
  <c r="H36" i="8" s="1"/>
  <c r="I120" i="5"/>
  <c r="H16" i="11"/>
  <c r="H22" i="11" s="1"/>
  <c r="H46" i="11"/>
  <c r="H50" i="11" s="1"/>
  <c r="K107" i="5"/>
  <c r="K116" i="1"/>
  <c r="G25" i="11"/>
  <c r="H38" i="8" l="1"/>
  <c r="I125" i="5"/>
  <c r="H53" i="11"/>
  <c r="H25" i="11"/>
  <c r="L12" i="5"/>
  <c r="L13" i="1"/>
  <c r="I46" i="11"/>
  <c r="I50" i="11" s="1"/>
  <c r="I16" i="11"/>
  <c r="I22" i="11" s="1"/>
  <c r="J120" i="5"/>
  <c r="K118" i="1"/>
  <c r="K116" i="5"/>
  <c r="K118" i="5" s="1"/>
  <c r="L107" i="5"/>
  <c r="L116" i="1"/>
  <c r="I20" i="8"/>
  <c r="I36" i="8" s="1"/>
  <c r="J121" i="1"/>
  <c r="J124" i="1" s="1"/>
  <c r="I123" i="5"/>
  <c r="K13" i="5"/>
  <c r="K53" i="5" s="1"/>
  <c r="K53" i="1"/>
  <c r="F36" i="21" s="1"/>
  <c r="L37" i="21" s="1"/>
  <c r="I7" i="11"/>
  <c r="I11" i="11" s="1"/>
  <c r="I39" i="11"/>
  <c r="I41" i="11" s="1"/>
  <c r="J121" i="5"/>
  <c r="J55" i="5"/>
  <c r="I38" i="8" l="1"/>
  <c r="J26" i="8"/>
  <c r="J33" i="8" s="1"/>
  <c r="F37" i="21"/>
  <c r="F38" i="21" s="1"/>
  <c r="F39" i="21" s="1"/>
  <c r="I25" i="11"/>
  <c r="J123" i="5"/>
  <c r="J125" i="5"/>
  <c r="K121" i="1"/>
  <c r="K124" i="1" s="1"/>
  <c r="J20" i="8"/>
  <c r="M12" i="5"/>
  <c r="M13" i="1"/>
  <c r="L53" i="1"/>
  <c r="L13" i="5"/>
  <c r="L53" i="5" s="1"/>
  <c r="M107" i="5"/>
  <c r="M116" i="1"/>
  <c r="J16" i="11"/>
  <c r="J22" i="11" s="1"/>
  <c r="J46" i="11"/>
  <c r="J50" i="11" s="1"/>
  <c r="K120" i="5"/>
  <c r="L116" i="5"/>
  <c r="L118" i="5" s="1"/>
  <c r="L118" i="1"/>
  <c r="K26" i="8" s="1"/>
  <c r="K33" i="8" s="1"/>
  <c r="J7" i="11"/>
  <c r="J11" i="11" s="1"/>
  <c r="J39" i="11"/>
  <c r="J41" i="11" s="1"/>
  <c r="K55" i="5"/>
  <c r="K121" i="5"/>
  <c r="I53" i="11"/>
  <c r="J36" i="8" l="1"/>
  <c r="J38" i="8" s="1"/>
  <c r="K125" i="5"/>
  <c r="M13" i="5"/>
  <c r="M53" i="5" s="1"/>
  <c r="M53" i="1"/>
  <c r="K123" i="5"/>
  <c r="J53" i="11"/>
  <c r="N107" i="5"/>
  <c r="N116" i="1"/>
  <c r="N12" i="5"/>
  <c r="N13" i="1"/>
  <c r="J25" i="11"/>
  <c r="M118" i="1"/>
  <c r="L26" i="8" s="1"/>
  <c r="L33" i="8" s="1"/>
  <c r="M116" i="5"/>
  <c r="M118" i="5" s="1"/>
  <c r="K7" i="11"/>
  <c r="K11" i="11" s="1"/>
  <c r="K39" i="11"/>
  <c r="K41" i="11" s="1"/>
  <c r="L55" i="5"/>
  <c r="L121" i="5"/>
  <c r="K16" i="11"/>
  <c r="K22" i="11" s="1"/>
  <c r="K46" i="11"/>
  <c r="K50" i="11" s="1"/>
  <c r="L120" i="5"/>
  <c r="L121" i="1"/>
  <c r="L124" i="1" s="1"/>
  <c r="K20" i="8"/>
  <c r="K36" i="8" s="1"/>
  <c r="K38" i="8" l="1"/>
  <c r="L123" i="5"/>
  <c r="N13" i="5"/>
  <c r="N53" i="5" s="1"/>
  <c r="N53" i="1"/>
  <c r="O116" i="1"/>
  <c r="O107" i="5"/>
  <c r="O12" i="5"/>
  <c r="O13" i="1"/>
  <c r="L125" i="5"/>
  <c r="K25" i="11"/>
  <c r="L20" i="8"/>
  <c r="L36" i="8" s="1"/>
  <c r="M121" i="1"/>
  <c r="M124" i="1" s="1"/>
  <c r="K53" i="11"/>
  <c r="L39" i="11"/>
  <c r="L41" i="11" s="1"/>
  <c r="L7" i="11"/>
  <c r="L11" i="11" s="1"/>
  <c r="M55" i="5"/>
  <c r="M121" i="5"/>
  <c r="N118" i="1"/>
  <c r="M26" i="8" s="1"/>
  <c r="M33" i="8" s="1"/>
  <c r="N116" i="5"/>
  <c r="N118" i="5" s="1"/>
  <c r="L16" i="11"/>
  <c r="L22" i="11" s="1"/>
  <c r="L46" i="11"/>
  <c r="L50" i="11" s="1"/>
  <c r="M120" i="5"/>
  <c r="L38" i="8" l="1"/>
  <c r="L53" i="11"/>
  <c r="P116" i="1"/>
  <c r="P107" i="5"/>
  <c r="O118" i="1"/>
  <c r="O116" i="5"/>
  <c r="O118" i="5" s="1"/>
  <c r="N121" i="1"/>
  <c r="N124" i="1" s="1"/>
  <c r="M20" i="8"/>
  <c r="M36" i="8" s="1"/>
  <c r="O13" i="5"/>
  <c r="O53" i="5" s="1"/>
  <c r="O53" i="1"/>
  <c r="H36" i="21" s="1"/>
  <c r="M37" i="21" s="1"/>
  <c r="N120" i="5"/>
  <c r="M16" i="11"/>
  <c r="M22" i="11" s="1"/>
  <c r="M46" i="11"/>
  <c r="M50" i="11" s="1"/>
  <c r="M123" i="5"/>
  <c r="M125" i="5"/>
  <c r="N121" i="5"/>
  <c r="N55" i="5"/>
  <c r="M39" i="11"/>
  <c r="M41" i="11" s="1"/>
  <c r="M7" i="11"/>
  <c r="M11" i="11" s="1"/>
  <c r="L25" i="11"/>
  <c r="P13" i="1"/>
  <c r="P12" i="5"/>
  <c r="M38" i="8" l="1"/>
  <c r="N26" i="8"/>
  <c r="N33" i="8" s="1"/>
  <c r="H37" i="21"/>
  <c r="H38" i="21" s="1"/>
  <c r="H39" i="21" s="1"/>
  <c r="N125" i="5"/>
  <c r="M25" i="11"/>
  <c r="N16" i="11"/>
  <c r="N22" i="11" s="1"/>
  <c r="N46" i="11"/>
  <c r="N50" i="11" s="1"/>
  <c r="O120" i="5"/>
  <c r="P118" i="1"/>
  <c r="O26" i="8" s="1"/>
  <c r="O33" i="8" s="1"/>
  <c r="P116" i="5"/>
  <c r="P118" i="5" s="1"/>
  <c r="Q12" i="5"/>
  <c r="Q13" i="1"/>
  <c r="P13" i="5"/>
  <c r="P53" i="5" s="1"/>
  <c r="P53" i="1"/>
  <c r="M53" i="11"/>
  <c r="O121" i="1"/>
  <c r="O124" i="1" s="1"/>
  <c r="N20" i="8"/>
  <c r="Q116" i="1"/>
  <c r="Q107" i="5"/>
  <c r="N39" i="11"/>
  <c r="N41" i="11" s="1"/>
  <c r="O121" i="5"/>
  <c r="O55" i="5"/>
  <c r="N7" i="11"/>
  <c r="N11" i="11" s="1"/>
  <c r="N123" i="5"/>
  <c r="N36" i="8" l="1"/>
  <c r="N38" i="8" s="1"/>
  <c r="N25" i="11"/>
  <c r="O125" i="5"/>
  <c r="N53" i="11"/>
  <c r="Q118" i="1"/>
  <c r="P26" i="8" s="1"/>
  <c r="P33" i="8" s="1"/>
  <c r="Q116" i="5"/>
  <c r="Q118" i="5" s="1"/>
  <c r="O39" i="11"/>
  <c r="O41" i="11" s="1"/>
  <c r="O7" i="11"/>
  <c r="O11" i="11" s="1"/>
  <c r="P55" i="5"/>
  <c r="P121" i="5"/>
  <c r="O46" i="11"/>
  <c r="O50" i="11" s="1"/>
  <c r="P120" i="5"/>
  <c r="O16" i="11"/>
  <c r="O22" i="11" s="1"/>
  <c r="O123" i="5"/>
  <c r="P121" i="1"/>
  <c r="P124" i="1" s="1"/>
  <c r="O20" i="8"/>
  <c r="O36" i="8" s="1"/>
  <c r="R107" i="5"/>
  <c r="R116" i="1"/>
  <c r="Q53" i="1"/>
  <c r="Q13" i="5"/>
  <c r="Q53" i="5" s="1"/>
  <c r="R13" i="1"/>
  <c r="R12" i="5"/>
  <c r="O38" i="8" l="1"/>
  <c r="P123" i="5"/>
  <c r="O25" i="11"/>
  <c r="O53" i="11"/>
  <c r="R53" i="1"/>
  <c r="R13" i="5"/>
  <c r="R53" i="5" s="1"/>
  <c r="Q121" i="5"/>
  <c r="P7" i="11"/>
  <c r="P11" i="11" s="1"/>
  <c r="P39" i="11"/>
  <c r="P41" i="11" s="1"/>
  <c r="Q55" i="5"/>
  <c r="P46" i="11"/>
  <c r="P50" i="11" s="1"/>
  <c r="Q120" i="5"/>
  <c r="P16" i="11"/>
  <c r="P22" i="11" s="1"/>
  <c r="P20" i="8"/>
  <c r="P36" i="8" s="1"/>
  <c r="Q121" i="1"/>
  <c r="Q124" i="1" s="1"/>
  <c r="R116" i="5"/>
  <c r="R118" i="5" s="1"/>
  <c r="R118" i="1"/>
  <c r="Q26" i="8" s="1"/>
  <c r="Q33" i="8" s="1"/>
  <c r="P125" i="5"/>
  <c r="P38" i="8" l="1"/>
  <c r="Q125" i="5"/>
  <c r="P25" i="11"/>
  <c r="P53" i="11"/>
  <c r="Q123" i="5"/>
  <c r="Q16" i="11"/>
  <c r="Q22" i="11" s="1"/>
  <c r="Q46" i="11"/>
  <c r="R120" i="5"/>
  <c r="D12" i="7"/>
  <c r="Q7" i="11"/>
  <c r="R121" i="5"/>
  <c r="Q39" i="11"/>
  <c r="Q41" i="11" s="1"/>
  <c r="R55" i="5"/>
  <c r="D11" i="7"/>
  <c r="Q20" i="8"/>
  <c r="Q36" i="8" s="1"/>
  <c r="R121" i="1"/>
  <c r="R124" i="1" s="1"/>
  <c r="Q38" i="8" l="1"/>
  <c r="R125" i="5"/>
  <c r="C8" i="13"/>
  <c r="C9" i="13" s="1"/>
  <c r="G10" i="7" s="1"/>
  <c r="R123" i="5"/>
  <c r="Q11" i="13"/>
  <c r="R12" i="13" s="1"/>
  <c r="F13" i="7"/>
  <c r="S12" i="13" l="1"/>
  <c r="T12" i="13" s="1"/>
  <c r="U12" i="13" s="1"/>
  <c r="V12" i="13" s="1"/>
  <c r="W12" i="13" s="1"/>
  <c r="X12" i="13" s="1"/>
  <c r="Y12" i="13" s="1"/>
  <c r="Z12" i="13" s="1"/>
  <c r="AA12" i="13" s="1"/>
  <c r="AB12" i="13" s="1"/>
  <c r="AC12" i="13" s="1"/>
  <c r="Q13" i="13" l="1"/>
  <c r="Q14" i="13" s="1"/>
  <c r="C10" i="7" s="1"/>
  <c r="Q8" i="11" l="1"/>
  <c r="Q48" i="11" s="1"/>
  <c r="Q50" i="11" s="1"/>
  <c r="Q53" i="11" s="1"/>
  <c r="C17" i="13"/>
  <c r="D10" i="7" s="1"/>
  <c r="F12" i="7" s="1"/>
  <c r="Q11" i="11" l="1"/>
  <c r="Q25" i="11" s="1"/>
  <c r="C29" i="11" s="1"/>
  <c r="D13" i="7"/>
  <c r="D14" i="7" s="1"/>
  <c r="D15" i="7" s="1"/>
  <c r="C17" i="7" s="1"/>
  <c r="C19" i="7" s="1"/>
  <c r="C57" i="11"/>
  <c r="C58" i="11"/>
  <c r="C3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B18" authorId="0" shapeId="0" xr:uid="{016D1DDF-13FD-407E-B1E7-DC81DE3040CC}">
      <text>
        <r>
          <rPr>
            <b/>
            <sz val="9"/>
            <color indexed="81"/>
            <rFont val="Tahoma"/>
            <family val="2"/>
            <charset val="204"/>
          </rPr>
          <t>Bedjuhhov Mihhail:</t>
        </r>
        <r>
          <rPr>
            <sz val="9"/>
            <color indexed="81"/>
            <rFont val="Tahoma"/>
            <family val="2"/>
            <charset val="204"/>
          </rPr>
          <t xml:space="preserve">
2024 I kvartal, Töötlev tööstus EM041: Tööviljakus hõivatu kohta müügitulu alusel, tuhat eurot , </t>
        </r>
      </text>
    </comment>
    <comment ref="B20" authorId="0" shapeId="0" xr:uid="{0A35CC0B-6989-4DCD-A643-85F21B26BDCE}">
      <text>
        <r>
          <rPr>
            <b/>
            <sz val="9"/>
            <color indexed="81"/>
            <rFont val="Tahoma"/>
            <family val="2"/>
            <charset val="204"/>
          </rPr>
          <t>Bedjuhhov Mihhail:</t>
        </r>
        <r>
          <rPr>
            <sz val="9"/>
            <color indexed="81"/>
            <rFont val="Tahoma"/>
            <family val="2"/>
            <charset val="204"/>
          </rPr>
          <t xml:space="preserve">
Töötlev tööstus , 2024 I kvartal, Tööviljakus hõivatu kohta puhta lisandväärtuse alusel, tuhat eurot</t>
        </r>
      </text>
    </comment>
    <comment ref="B22" authorId="0" shapeId="0" xr:uid="{F51AE453-C16D-4D2E-A3CF-ECE13E343015}">
      <text>
        <r>
          <rPr>
            <b/>
            <sz val="9"/>
            <color indexed="81"/>
            <rFont val="Tahoma"/>
            <family val="2"/>
            <charset val="204"/>
          </rPr>
          <t>Bedjuhhov Mihhail:</t>
        </r>
        <r>
          <rPr>
            <sz val="9"/>
            <color indexed="81"/>
            <rFont val="Tahoma"/>
            <family val="2"/>
            <charset val="204"/>
          </rPr>
          <t xml:space="preserve">
PA113: KESKMINE BRUTOKUUPALK.
I kv 2024</t>
        </r>
      </text>
    </comment>
    <comment ref="B24" authorId="0" shapeId="0" xr:uid="{5F4E421B-02A6-4331-8FAA-E11555C8ADF8}">
      <text>
        <r>
          <rPr>
            <sz val="9"/>
            <color indexed="81"/>
            <rFont val="Tahoma"/>
            <family val="2"/>
            <charset val="204"/>
          </rPr>
          <t>Alates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51" authorId="0" shapeId="0" xr:uid="{00000000-0006-0000-0300-000002000000}">
      <text>
        <r>
          <rPr>
            <sz val="9"/>
            <color indexed="81"/>
            <rFont val="Tahoma"/>
            <family val="2"/>
            <charset val="186"/>
          </rPr>
          <t>Vajadusel lisage ridu</t>
        </r>
      </text>
    </comment>
    <comment ref="B58" authorId="0" shapeId="0" xr:uid="{00000000-0006-0000-0300-000003000000}">
      <text>
        <r>
          <rPr>
            <sz val="9"/>
            <color indexed="81"/>
            <rFont val="Tahoma"/>
            <family val="2"/>
            <charset val="186"/>
          </rPr>
          <t>Lisada ametikohtade nimetused</t>
        </r>
      </text>
    </comment>
    <comment ref="B59" authorId="0" shapeId="0" xr:uid="{CCFF6CF9-0A40-406F-A340-B5B0F51E0A2E}">
      <text>
        <r>
          <rPr>
            <sz val="9"/>
            <color indexed="81"/>
            <rFont val="Tahoma"/>
            <family val="2"/>
            <charset val="186"/>
          </rPr>
          <t>Lisada ametikohtade nimetused</t>
        </r>
      </text>
    </comment>
    <comment ref="B77" authorId="0" shapeId="0" xr:uid="{00000000-0006-0000-0300-000004000000}">
      <text>
        <r>
          <rPr>
            <sz val="9"/>
            <color indexed="81"/>
            <rFont val="Tahoma"/>
            <family val="2"/>
            <charset val="186"/>
          </rPr>
          <t>Vajadusel lisage töötajate jaoks ridu</t>
        </r>
      </text>
    </comment>
    <comment ref="B91" authorId="0" shapeId="0" xr:uid="{00000000-0006-0000-0300-000005000000}">
      <text>
        <r>
          <rPr>
            <sz val="9"/>
            <color indexed="81"/>
            <rFont val="Tahoma"/>
            <family val="2"/>
            <charset val="186"/>
          </rPr>
          <t>Vajadusel lisage ridu</t>
        </r>
      </text>
    </comment>
    <comment ref="B103" authorId="0" shapeId="0" xr:uid="{00000000-0006-0000-0300-000006000000}">
      <text>
        <r>
          <rPr>
            <sz val="9"/>
            <color indexed="81"/>
            <rFont val="Tahoma"/>
            <family val="2"/>
            <charset val="186"/>
          </rPr>
          <t>Vajadusel lisage ridu</t>
        </r>
      </text>
    </comment>
    <comment ref="A115" authorId="0" shapeId="0" xr:uid="{00000000-0006-0000-0300-000007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900-000001000000}">
      <text>
        <r>
          <rPr>
            <sz val="9"/>
            <color indexed="81"/>
            <rFont val="Tahoma"/>
            <family val="2"/>
            <charset val="186"/>
          </rPr>
          <t>Tabelist 5</t>
        </r>
      </text>
    </comment>
    <comment ref="A12" authorId="0" shapeId="0" xr:uid="{00000000-0006-0000-09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9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9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<sst xmlns="http://schemas.openxmlformats.org/spreadsheetml/2006/main" count="909" uniqueCount="422">
  <si>
    <t>Hind</t>
  </si>
  <si>
    <t>Müügitulu</t>
  </si>
  <si>
    <t>Ühik</t>
  </si>
  <si>
    <t>Eur</t>
  </si>
  <si>
    <t>Märts</t>
  </si>
  <si>
    <t>Mai</t>
  </si>
  <si>
    <t>Juuni</t>
  </si>
  <si>
    <t>Juuli</t>
  </si>
  <si>
    <t>TULUD KOKKU</t>
  </si>
  <si>
    <t>KULUD</t>
  </si>
  <si>
    <t>Tööjõukulud</t>
  </si>
  <si>
    <t>Töötaja 5</t>
  </si>
  <si>
    <t>Töötaja 6</t>
  </si>
  <si>
    <t>Töötaja 7</t>
  </si>
  <si>
    <t>Töötaja 8</t>
  </si>
  <si>
    <t>Töötaja 9</t>
  </si>
  <si>
    <t>Töötaja 10</t>
  </si>
  <si>
    <t>Sotsiaal- ja tk.m</t>
  </si>
  <si>
    <t>Brutotasud kokku</t>
  </si>
  <si>
    <t>Tööjõukulud kokku</t>
  </si>
  <si>
    <t>Halduskulud</t>
  </si>
  <si>
    <t>Halduskulud kokku</t>
  </si>
  <si>
    <t>Turunduskulud</t>
  </si>
  <si>
    <t>Kulu 6</t>
  </si>
  <si>
    <t>Kulu 7</t>
  </si>
  <si>
    <t>Kulu 8</t>
  </si>
  <si>
    <t>Kulu 9</t>
  </si>
  <si>
    <t>Kulu 10</t>
  </si>
  <si>
    <t>Turunduskulud kokku</t>
  </si>
  <si>
    <t>Muud kulud kokku</t>
  </si>
  <si>
    <t>KULUD KOKKU</t>
  </si>
  <si>
    <t>Tulude ja kulude vahe</t>
  </si>
  <si>
    <t>TULUD</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</si>
  <si>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</si>
  <si>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</si>
  <si>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</si>
  <si>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</si>
  <si>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</si>
  <si>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</si>
  <si>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</si>
  <si>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</si>
  <si>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</si>
  <si>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</si>
  <si>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</si>
  <si>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</si>
  <si>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</si>
  <si>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</si>
  <si>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</si>
  <si>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</si>
  <si>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</si>
  <si>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</si>
  <si>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</si>
  <si>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</si>
  <si>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</si>
  <si>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</si>
  <si>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</si>
  <si>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</si>
  <si>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</si>
  <si>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</si>
  <si>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</si>
  <si>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</si>
  <si>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</si>
  <si>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</si>
  <si>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</si>
  <si>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</si>
  <si>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</si>
  <si>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</si>
  <si>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</si>
  <si>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</si>
  <si>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</si>
  <si>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</si>
  <si>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</si>
  <si>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</si>
  <si>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</si>
  <si>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</si>
  <si>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</si>
  <si>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</si>
  <si>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</si>
  <si>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</si>
  <si>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</si>
  <si>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</si>
  <si>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</si>
  <si>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</si>
  <si>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</si>
  <si>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</si>
  <si>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</si>
  <si>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</si>
  <si>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</si>
  <si>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</si>
  <si>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</si>
  <si>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</si>
  <si>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</si>
  <si>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</si>
  <si>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</si>
  <si>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</si>
  <si>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</si>
  <si>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</si>
  <si>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</si>
  <si>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</si>
  <si>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</si>
  <si>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</si>
  <si>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</si>
  <si>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</si>
  <si>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</si>
  <si>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</si>
  <si>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</si>
  <si>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</si>
  <si>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</si>
  <si>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</si>
  <si>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</si>
  <si>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</si>
  <si>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</si>
  <si>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</si>
  <si>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</si>
  <si>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</si>
  <si>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</si>
  <si>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</si>
  <si>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</si>
  <si>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</si>
  <si>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</si>
  <si>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</si>
  <si>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</si>
  <si>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</si>
  <si>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</si>
  <si>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</si>
  <si>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</si>
  <si>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</si>
  <si>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</si>
  <si>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</si>
  <si>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</si>
  <si>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</si>
  <si>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</si>
  <si>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</si>
  <si>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</si>
  <si>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</si>
  <si>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</si>
  <si>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</si>
  <si>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</si>
  <si>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</si>
  <si>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</si>
  <si>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</si>
  <si>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</si>
  <si>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</si>
  <si>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</si>
  <si>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</si>
  <si>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</si>
  <si>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</si>
  <si>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</si>
  <si>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</si>
  <si>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</si>
  <si>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</si>
  <si>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</si>
  <si>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</si>
  <si>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</si>
  <si>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</si>
  <si>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</si>
  <si>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</si>
  <si>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</si>
  <si>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</si>
  <si>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</si>
  <si>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</si>
  <si>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</si>
  <si>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</si>
  <si>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</si>
  <si>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</si>
  <si>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</si>
  <si>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</si>
  <si>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</si>
  <si>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</si>
  <si>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</si>
  <si>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</si>
  <si>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</si>
  <si>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</si>
  <si>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</si>
  <si>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</si>
  <si>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</si>
  <si>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</si>
  <si>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</si>
  <si>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</si>
  <si>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</si>
  <si>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</si>
  <si>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</si>
  <si>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</si>
  <si>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</si>
  <si>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</si>
  <si>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</si>
  <si>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</si>
  <si>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</si>
  <si>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</si>
  <si>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</si>
  <si>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</si>
  <si>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</si>
  <si>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</si>
  <si>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</si>
  <si>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</si>
  <si>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</si>
  <si>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</si>
  <si>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</si>
  <si>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</si>
  <si>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</si>
  <si>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</si>
  <si>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</si>
  <si>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</si>
  <si>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</si>
  <si>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</si>
  <si>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</si>
  <si>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</si>
  <si>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</si>
  <si>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</si>
  <si>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</si>
  <si>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</si>
  <si>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</si>
  <si>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</si>
  <si>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</si>
  <si>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</si>
  <si>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</si>
  <si>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</si>
  <si>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</si>
  <si>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</si>
  <si>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</si>
  <si>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</si>
  <si>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</si>
  <si>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</si>
  <si>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</si>
  <si>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</si>
  <si>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</si>
  <si>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</si>
  <si>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</si>
  <si>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</si>
  <si>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</si>
  <si>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</si>
  <si>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</si>
  <si>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</si>
  <si>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</si>
  <si>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</si>
  <si>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</si>
  <si>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</si>
  <si>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</si>
  <si>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</si>
  <si>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</si>
  <si>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</si>
  <si>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</si>
  <si>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</si>
  <si>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</si>
  <si>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</si>
  <si>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Сумарные показатели за период</t>
  </si>
  <si>
    <t>3 года</t>
  </si>
  <si>
    <t>5 лет</t>
  </si>
  <si>
    <t>10 лет</t>
  </si>
  <si>
    <t>Net Cash flow</t>
  </si>
  <si>
    <t>NPV:</t>
  </si>
  <si>
    <t>Tähendus</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</si>
  <si>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</si>
  <si>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</si>
  <si>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</si>
  <si>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</si>
  <si>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</si>
  <si>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</si>
  <si>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</si>
  <si>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</si>
  <si>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</si>
  <si>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</si>
  <si>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</si>
  <si>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</si>
  <si>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</si>
  <si>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m2</t>
  </si>
  <si>
    <t>13 лет</t>
  </si>
  <si>
    <t>в т.ч возраст:</t>
  </si>
  <si>
    <t>1-3 лет</t>
  </si>
  <si>
    <t>4-5 лет</t>
  </si>
  <si>
    <t>6-8 лет</t>
  </si>
  <si>
    <t>9-10 лет</t>
  </si>
  <si>
    <t xml:space="preserve"> +10 лет</t>
  </si>
  <si>
    <t>IVIA laen</t>
  </si>
  <si>
    <t>5 aastat</t>
  </si>
  <si>
    <t>10 aastat</t>
  </si>
  <si>
    <t>Uued töökohad, in</t>
  </si>
  <si>
    <t>Maksude täiendav laekumine, mln eurot</t>
  </si>
  <si>
    <t>sh sotsiaalmaks, mln eurot</t>
  </si>
  <si>
    <t>sh tulumaks, mln eurot</t>
  </si>
  <si>
    <t>sh KM, mln eurot</t>
  </si>
  <si>
    <t>sh laekumine kohalikesse eelarvetesse, mln eurot</t>
  </si>
  <si>
    <t>Ekspordi kasv regioonis, mln eurot</t>
  </si>
  <si>
    <t>Lisandväärtuse kasv, mln eurot</t>
  </si>
  <si>
    <t>Summaarsed näitajad peale Jõhvi Inkubaatori käivitamist</t>
  </si>
  <si>
    <t>Müügitulu uutest ettevõtmistest, mln eurot</t>
  </si>
  <si>
    <t>Kokku</t>
  </si>
  <si>
    <t>Kuu</t>
  </si>
  <si>
    <t>Eksport</t>
  </si>
  <si>
    <t>eurot</t>
  </si>
  <si>
    <t>Projekti tasuvusanalüüs avalikule sektorile</t>
  </si>
  <si>
    <t>Avaliku sektori investeeringud</t>
  </si>
  <si>
    <t>Avaliku sektori tulud</t>
  </si>
  <si>
    <t>Akkumuleeritud Net Cash Flow</t>
  </si>
  <si>
    <t>Diskonteerimismäär</t>
  </si>
  <si>
    <t>Koefitsient</t>
  </si>
  <si>
    <t>Diskonteeritud investeeringud</t>
  </si>
  <si>
    <t>Diskonteeritud tulud</t>
  </si>
  <si>
    <t>Diskonteeritud Net Cash Flow</t>
  </si>
  <si>
    <t>Diskonteeritud akkumuleeritud Net Cash Flow</t>
  </si>
  <si>
    <t>Otsesed ja kaudsed maksud kokku</t>
  </si>
  <si>
    <t>sh sotsiaalmaks</t>
  </si>
  <si>
    <t>sh tulumaks</t>
  </si>
  <si>
    <t>sh KOV-le (11,57%)</t>
  </si>
  <si>
    <t>sh KM</t>
  </si>
  <si>
    <t>Uued töökohad kokku</t>
  </si>
  <si>
    <t>Uusi ettevõtteid kokku</t>
  </si>
  <si>
    <t>Ettevõtete muud tulemused kokku:</t>
  </si>
  <si>
    <t>Lisandväärtus</t>
  </si>
  <si>
    <t>Müük</t>
  </si>
  <si>
    <t>Ekspordi kasv</t>
  </si>
  <si>
    <t>Töökohad (kokku)</t>
  </si>
  <si>
    <t>Töötasufond</t>
  </si>
  <si>
    <t>Sotsiaalmaks</t>
  </si>
  <si>
    <t>Tulumaks</t>
  </si>
  <si>
    <t>sh riigieelarvesse</t>
  </si>
  <si>
    <t>KM</t>
  </si>
  <si>
    <t>Arvestamise alus</t>
  </si>
  <si>
    <t>Objekt kuulub kategooriasse Äriinfrastruktuur. Selle kategooria puhul on arvestusperioodi pikkus RM juhendi järgi 10-15 aastat. Maksimaalse perioodi valimisel lähtuti realistlikust perioodist, mil ehitatud infrastruktuur ei nõua suuri renoveerimiskulusid.</t>
  </si>
  <si>
    <t>Sihtasutus Ida-Viru Investeeringute Agentuur</t>
  </si>
  <si>
    <t>Teet Kuusmik</t>
  </si>
  <si>
    <t>teet.kuusmik@ivia.ee</t>
  </si>
  <si>
    <t>511 4685</t>
  </si>
  <si>
    <t>Inkubeeritavate ettevõtete mõju</t>
  </si>
  <si>
    <t>Uued ettevõtted:</t>
  </si>
  <si>
    <t>Maksud kokku kõikidesse eelarvetesse</t>
  </si>
  <si>
    <t>mln eurot/aastas</t>
  </si>
  <si>
    <t>inimest</t>
  </si>
  <si>
    <t>13 aastat</t>
  </si>
  <si>
    <t>Asendusinvesteeringuid</t>
  </si>
  <si>
    <t>aasta number pärast projekti elluviimist</t>
  </si>
  <si>
    <t>% asendamine esialgsest maksumusest</t>
  </si>
  <si>
    <t>Laenu põhiosa tagasimaksmine (IVIA laen)</t>
  </si>
  <si>
    <t>1 - 3</t>
  </si>
  <si>
    <t>4 - 7</t>
  </si>
  <si>
    <t>8 - 13</t>
  </si>
  <si>
    <t>Periood, aastat projekti realiseerumisest</t>
  </si>
  <si>
    <t xml:space="preserve">Keskmine täituvus </t>
  </si>
  <si>
    <t>Keskmise täituvuse stsenaariumid</t>
  </si>
  <si>
    <t>Tulud, eurot/aastas</t>
  </si>
  <si>
    <t>vähene</t>
  </si>
  <si>
    <t>keskmine</t>
  </si>
  <si>
    <t>kõrge</t>
  </si>
  <si>
    <t>Kulud (amortisatsioonita), eurot/aastas</t>
  </si>
  <si>
    <t>EBITDA, eurot/aastas</t>
  </si>
  <si>
    <t>Kasum, eurot/aastas</t>
  </si>
  <si>
    <t>ÕÜF toetus</t>
  </si>
  <si>
    <r>
      <t>m</t>
    </r>
    <r>
      <rPr>
        <sz val="12"/>
        <color theme="1"/>
        <rFont val="Calibri"/>
        <family val="2"/>
        <charset val="204"/>
        <scheme val="minor"/>
      </rPr>
      <t>2</t>
    </r>
  </si>
  <si>
    <t>Eur/m2/aastas</t>
  </si>
  <si>
    <t>Kohta</t>
  </si>
  <si>
    <t>Eur/kohta/aastas</t>
  </si>
  <si>
    <t>Kuud</t>
  </si>
  <si>
    <t>Eur/kuus</t>
  </si>
  <si>
    <t>ettevõte</t>
  </si>
  <si>
    <t>elekter</t>
  </si>
  <si>
    <t>tänavavalgustus</t>
  </si>
  <si>
    <t>vesi</t>
  </si>
  <si>
    <t>kanalisatsioon</t>
  </si>
  <si>
    <t>side</t>
  </si>
  <si>
    <t>Kraavid</t>
  </si>
  <si>
    <t>Sõiduteed</t>
  </si>
  <si>
    <t>Maa müük</t>
  </si>
  <si>
    <t>Ühik 1</t>
  </si>
  <si>
    <t>Maamaks</t>
  </si>
  <si>
    <t>Maa müügiga seotud maksud</t>
  </si>
  <si>
    <t>Tänavavalgustus</t>
  </si>
  <si>
    <t>Territooriumi korrashoid</t>
  </si>
  <si>
    <t>Teede remont</t>
  </si>
  <si>
    <t>Projekti realiseerimine</t>
  </si>
  <si>
    <t>Periood peale projekti realiseerimist (aastad)</t>
  </si>
  <si>
    <t>(Investeerimisperiood)</t>
  </si>
  <si>
    <t>EELDUSED</t>
  </si>
  <si>
    <t>Eeldus</t>
  </si>
  <si>
    <t>Põhjendus</t>
  </si>
  <si>
    <t>Tegutsevate ettevõtete arv (summeeritult)</t>
  </si>
  <si>
    <t>ettevõtlus</t>
  </si>
  <si>
    <t>12-15</t>
  </si>
  <si>
    <t>kuud</t>
  </si>
  <si>
    <t>objekti käikulaskmine peale investeeringut</t>
  </si>
  <si>
    <t>NTLP Kadastiku tegevuskogemus</t>
  </si>
  <si>
    <t>Uus investor</t>
  </si>
  <si>
    <t>Investorid (summeeritult)</t>
  </si>
  <si>
    <t xml:space="preserve">Konservatiivne prognoos, lähtudes tegevuskogemusest ja turuanalüüsist </t>
  </si>
  <si>
    <t>Töötajate arv</t>
  </si>
  <si>
    <t>inimesed</t>
  </si>
  <si>
    <t xml:space="preserve"> Keskmine töötajate arv ettevõttes </t>
  </si>
  <si>
    <t>2018-2019 prognoos lähtub investorite äriplaanist, järgnevatel aastatel lähtudes turuanalüüsist ja NTLP Kadastiku tegevuskogemusest.</t>
  </si>
  <si>
    <t>Müüdud maa jooksval aastal</t>
  </si>
  <si>
    <t xml:space="preserve">Investori poolt omandatud maad kokku </t>
  </si>
  <si>
    <t>Ehitiste maht müüdud maaüksustel</t>
  </si>
  <si>
    <t>Kiviõli tööstuspark detailplaneering</t>
  </si>
  <si>
    <t>IVIA omanduses maa</t>
  </si>
  <si>
    <t>Tootmis- ja ärimaa enne müükide algust</t>
  </si>
  <si>
    <t>Kiviõli tööstuspark detailplaneering, maa müügiplaan</t>
  </si>
  <si>
    <t>Maa harilikust väärtusest 60% tasumine tehingujärgselt</t>
  </si>
  <si>
    <t>EUR/m2</t>
  </si>
  <si>
    <t xml:space="preserve"> Tootmis- ja ärimaa jaoks </t>
  </si>
  <si>
    <t>seadusandlus</t>
  </si>
  <si>
    <t>Krundid</t>
  </si>
  <si>
    <t>Projektis osalemine</t>
  </si>
  <si>
    <t>Projektijuht</t>
  </si>
  <si>
    <t>Turundustegevuste koordinaator</t>
  </si>
  <si>
    <t>Brutto-palk</t>
  </si>
  <si>
    <t>Rahandusministeeriumi majandusprognoos</t>
  </si>
  <si>
    <r>
      <t xml:space="preserve">Taotleja peab kasutama rahandusministeeriumi </t>
    </r>
    <r>
      <rPr>
        <b/>
        <u/>
        <sz val="12"/>
        <color theme="1"/>
        <rFont val="Calibri"/>
        <family val="2"/>
        <charset val="204"/>
        <scheme val="minor"/>
      </rPr>
      <t>kõige värskemat</t>
    </r>
    <r>
      <rPr>
        <sz val="12"/>
        <color theme="1"/>
        <rFont val="Calibri"/>
        <family val="2"/>
        <charset val="204"/>
        <scheme val="minor"/>
      </rPr>
      <t xml:space="preserve"> majandusprognoosi. Leitav lehelt:   </t>
    </r>
  </si>
  <si>
    <t xml:space="preserve">https://www.fin.ee/riigi-rahandus-ja-maksud/fiskaalpoliitika-ja-majandus/rahandusministeeriumi-majandusprognoos </t>
  </si>
  <si>
    <t>Täitke vaid need tabeli lahtrid, mis jäävad projekti arvestusperioodi.</t>
  </si>
  <si>
    <t>Tarbijahinnaindeks</t>
  </si>
  <si>
    <t>Palgakasv</t>
  </si>
  <si>
    <t>Keskmine THI</t>
  </si>
  <si>
    <t>Nominaalne diskontomäär</t>
  </si>
  <si>
    <t>Kulu 2</t>
  </si>
  <si>
    <t>Kulu 3</t>
  </si>
  <si>
    <t>Kulu 4</t>
  </si>
  <si>
    <t>Kulu 5</t>
  </si>
  <si>
    <t>Ettevõtted</t>
  </si>
  <si>
    <t>2024-2038</t>
  </si>
  <si>
    <t>Jõhvi Äripargi 2. etapi taristu rajamine</t>
  </si>
  <si>
    <t>Turundustegevuste koordineerija</t>
  </si>
  <si>
    <t>Finantsjuht</t>
  </si>
  <si>
    <t>keskküttetrassi tööd</t>
  </si>
  <si>
    <t>Reserv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</si>
</sst>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_(* \(#,##0.00\);_(* &quot;-&quot;??_);_(@_)"/>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
    <numFmt numFmtId="177" formatCode="#,##0.00,,;;"/>
    <numFmt numFmtId="178" formatCode="#,##0.00,,;\-#,##0.00,,;"/>
    <numFmt numFmtId="179" formatCode="#,##0,,;\-#,##0,,;"/>
    <numFmt numFmtId="180" formatCode="#,##0.00,,;\-#,##0.00,,;0"/>
    <numFmt numFmtId="181" formatCode="#,##0.0_ ;[Red]\-#,##0.0\ "/>
    <numFmt numFmtId="182" formatCode="_(* #,##0_);_(* \(#,##0\);_(* &quot;-&quot;??_);_(@_)"/>
    <numFmt numFmtId="183" formatCode="0.0000"/>
    <numFmt numFmtId="184" formatCode="_(* #,##0.0000_);_(* \(#,##0.0000\);_(* &quot;-&quot;??_);_(@_)"/>
    <numFmt numFmtId="185" formatCode="#,##0.00000"/>
    <numFmt numFmtId="186" formatCode="0.000%"/>
  </numFmts>
  <fonts count="109" x14ac:knownFonts="1">
    <font>
      <sz val="11"/>
      <color theme="1"/>
      <name val="Calibri"/>
      <family val="2"/>
      <charset val="186"/>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b/>
      <strike/>
      <sz val="12"/>
      <color rgb="FFCC6600"/>
      <name val="Calibri"/>
      <family val="2"/>
      <charset val="186"/>
      <scheme val="minor"/>
    </font>
    <font>
      <b/>
      <sz val="11"/>
      <color theme="1"/>
      <name val="Calibri"/>
      <family val="2"/>
      <charset val="204"/>
      <scheme val="minor"/>
    </font>
    <font>
      <i/>
      <sz val="11"/>
      <color theme="1"/>
      <name val="Calibri"/>
      <family val="2"/>
      <charset val="204"/>
      <scheme val="minor"/>
    </font>
    <font>
      <sz val="9"/>
      <color indexed="81"/>
      <name val="Tahoma"/>
      <family val="2"/>
      <charset val="204"/>
    </font>
    <font>
      <sz val="11"/>
      <color theme="1"/>
      <name val="Times New Roman"/>
      <family val="1"/>
      <charset val="204"/>
    </font>
    <font>
      <sz val="9"/>
      <color theme="1"/>
      <name val="Times New Roman"/>
      <family val="1"/>
      <charset val="204"/>
    </font>
    <font>
      <sz val="10"/>
      <name val="Arial"/>
      <family val="2"/>
      <charset val="204"/>
    </font>
    <font>
      <sz val="10"/>
      <name val="Times New Roman"/>
      <family val="1"/>
      <charset val="204"/>
    </font>
    <font>
      <sz val="10"/>
      <color theme="1"/>
      <name val="Times New Roman"/>
      <family val="1"/>
      <charset val="204"/>
    </font>
    <font>
      <sz val="12"/>
      <name val="Times New Roman"/>
      <family val="1"/>
      <charset val="204"/>
    </font>
    <font>
      <sz val="12"/>
      <color theme="0"/>
      <name val="Times New Roman"/>
      <family val="1"/>
      <charset val="204"/>
    </font>
    <font>
      <sz val="11"/>
      <name val="Times New Roman"/>
      <family val="1"/>
      <charset val="204"/>
    </font>
    <font>
      <sz val="9"/>
      <name val="Times New Roman"/>
      <family val="1"/>
      <charset val="204"/>
    </font>
    <font>
      <u/>
      <sz val="11"/>
      <name val="Times New Roman"/>
      <family val="1"/>
      <charset val="204"/>
    </font>
    <font>
      <b/>
      <sz val="11"/>
      <name val="Times New Roman"/>
      <family val="1"/>
      <charset val="204"/>
    </font>
    <font>
      <b/>
      <sz val="11"/>
      <color theme="1"/>
      <name val="Times New Roman"/>
      <family val="1"/>
      <charset val="204"/>
    </font>
    <font>
      <sz val="12"/>
      <color theme="1"/>
      <name val="Times New Roman"/>
      <family val="1"/>
      <charset val="204"/>
    </font>
    <font>
      <b/>
      <sz val="9"/>
      <color indexed="81"/>
      <name val="Tahoma"/>
      <family val="2"/>
      <charset val="204"/>
    </font>
    <font>
      <sz val="11"/>
      <color theme="0"/>
      <name val="Times New Roman"/>
      <family val="1"/>
      <charset val="204"/>
    </font>
    <font>
      <b/>
      <u/>
      <sz val="11"/>
      <name val="Times New Roman"/>
      <family val="1"/>
      <charset val="204"/>
    </font>
    <font>
      <i/>
      <sz val="9"/>
      <color theme="1"/>
      <name val="Times New Roman"/>
      <family val="1"/>
      <charset val="204"/>
    </font>
    <font>
      <sz val="11"/>
      <color theme="1"/>
      <name val="Calibri"/>
      <family val="2"/>
      <scheme val="minor"/>
    </font>
    <font>
      <sz val="12"/>
      <color theme="1"/>
      <name val="Calibri"/>
      <family val="2"/>
      <charset val="204"/>
      <scheme val="minor"/>
    </font>
    <font>
      <sz val="9"/>
      <color rgb="FFFF0000"/>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sz val="9"/>
      <name val="Times New Roman"/>
      <family val="1"/>
      <charset val="204"/>
    </font>
    <font>
      <sz val="11"/>
      <color theme="1"/>
      <name val="Calibri"/>
      <scheme val="minor"/>
    </font>
    <font>
      <b/>
      <sz val="14"/>
      <color theme="1"/>
      <name val="Calibri"/>
      <family val="2"/>
      <charset val="204"/>
      <scheme val="minor"/>
    </font>
    <font>
      <b/>
      <u/>
      <sz val="12"/>
      <color theme="1"/>
      <name val="Calibri"/>
      <family val="2"/>
      <charset val="204"/>
      <scheme val="minor"/>
    </font>
    <font>
      <u/>
      <sz val="11"/>
      <color theme="10"/>
      <name val="Calibri"/>
      <family val="2"/>
      <charset val="204"/>
      <scheme val="minor"/>
    </font>
    <font>
      <sz val="12"/>
      <name val="Calibri"/>
      <family val="2"/>
      <charset val="204"/>
      <scheme val="minor"/>
    </font>
    <font>
      <b/>
      <sz val="12"/>
      <color theme="1"/>
      <name val="Calibri"/>
      <family val="2"/>
      <charset val="204"/>
      <scheme val="minor"/>
    </font>
    <font>
      <i/>
      <u/>
      <sz val="11"/>
      <color theme="1"/>
      <name val="Calibri"/>
      <family val="2"/>
      <charset val="204"/>
      <scheme val="minor"/>
    </font>
    <font>
      <b/>
      <sz val="12"/>
      <color rgb="FFC00000"/>
      <name val="Calibri"/>
      <family val="2"/>
      <scheme val="minor"/>
    </font>
  </fonts>
  <fills count="3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theme="0" tint="-0.249977111117893"/>
        <bgColor indexed="64"/>
      </patternFill>
    </fill>
    <fill>
      <patternFill patternType="solid">
        <fgColor rgb="FFDDDDDD"/>
        <bgColor rgb="FFDDDDDD"/>
      </patternFill>
    </fill>
    <fill>
      <patternFill patternType="solid">
        <fgColor rgb="FFA0F69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27">
    <xf numFmtId="0" fontId="0" fillId="0" borderId="0"/>
    <xf numFmtId="9" fontId="42" fillId="0" borderId="0" applyFont="0" applyFill="0" applyBorder="0" applyAlignment="0" applyProtection="0"/>
    <xf numFmtId="0" fontId="58" fillId="0" borderId="0" applyNumberFormat="0" applyFill="0" applyBorder="0" applyAlignment="0" applyProtection="0"/>
    <xf numFmtId="0" fontId="9" fillId="0" borderId="0"/>
    <xf numFmtId="9" fontId="9" fillId="0" borderId="0" applyFont="0" applyFill="0" applyBorder="0" applyAlignment="0" applyProtection="0"/>
    <xf numFmtId="0" fontId="9" fillId="0" borderId="0"/>
    <xf numFmtId="0" fontId="79" fillId="0" borderId="0"/>
    <xf numFmtId="9" fontId="79"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3" fillId="0" borderId="0"/>
    <xf numFmtId="9" fontId="42" fillId="0" borderId="0" applyFont="0" applyFill="0" applyBorder="0" applyAlignment="0" applyProtection="0"/>
    <xf numFmtId="43" fontId="79" fillId="0" borderId="0" applyFont="0" applyFill="0" applyBorder="0" applyAlignment="0" applyProtection="0"/>
    <xf numFmtId="0" fontId="101" fillId="0" borderId="0"/>
    <xf numFmtId="0" fontId="94" fillId="0" borderId="0"/>
    <xf numFmtId="0" fontId="104" fillId="0" borderId="0" applyNumberFormat="0" applyFill="0" applyBorder="0" applyProtection="0"/>
  </cellStyleXfs>
  <cellXfs count="792">
    <xf numFmtId="0" fontId="0" fillId="0" borderId="0" xfId="0"/>
    <xf numFmtId="0" fontId="0" fillId="0" borderId="0" xfId="0"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0" fillId="2" borderId="2" xfId="0" applyFill="1" applyBorder="1" applyAlignment="1">
      <alignment horizontal="center" vertical="center"/>
    </xf>
    <xf numFmtId="0" fontId="13" fillId="0" borderId="0" xfId="0" applyFont="1" applyAlignment="1">
      <alignment horizontal="left" vertical="center" indent="1"/>
    </xf>
    <xf numFmtId="167" fontId="13" fillId="0" borderId="0" xfId="0" applyNumberFormat="1" applyFont="1" applyAlignment="1">
      <alignment horizontal="center" vertical="center"/>
    </xf>
    <xf numFmtId="0" fontId="0" fillId="0" borderId="0" xfId="0" applyAlignment="1">
      <alignment horizontal="center" vertical="center" shrinkToFit="1"/>
    </xf>
    <xf numFmtId="0" fontId="13"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13" fillId="0" borderId="0" xfId="0" applyNumberFormat="1" applyFont="1" applyAlignment="1">
      <alignment horizontal="center" vertical="center" shrinkToFit="1"/>
    </xf>
    <xf numFmtId="167" fontId="13"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10" fillId="0" borderId="0" xfId="0" applyNumberFormat="1" applyFont="1" applyAlignment="1">
      <alignment horizontal="center" vertical="center" shrinkToFit="1"/>
    </xf>
    <xf numFmtId="167" fontId="10"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15" fillId="0" borderId="3"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2" xfId="0" applyFont="1" applyBorder="1" applyAlignment="1">
      <alignment horizontal="left" vertical="center" indent="1"/>
    </xf>
    <xf numFmtId="0" fontId="15"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23" fillId="0" borderId="0" xfId="0" applyFont="1" applyAlignment="1">
      <alignment horizontal="left" vertical="center" indent="2"/>
    </xf>
    <xf numFmtId="0" fontId="23" fillId="0" borderId="0" xfId="0" applyFont="1" applyAlignment="1">
      <alignment horizontal="center"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horizontal="left" vertical="center" indent="1" shrinkToFi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left" vertical="center" indent="1" shrinkToFit="1"/>
    </xf>
    <xf numFmtId="0" fontId="32"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30"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10"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10" fillId="8" borderId="1" xfId="0" applyFont="1" applyFill="1" applyBorder="1" applyAlignment="1">
      <alignment horizontal="left" vertical="center" indent="1" shrinkToFit="1"/>
    </xf>
    <xf numFmtId="0" fontId="10" fillId="8" borderId="1" xfId="0" applyFont="1" applyFill="1" applyBorder="1" applyAlignment="1">
      <alignment horizontal="center" vertical="center" shrinkToFit="1"/>
    </xf>
    <xf numFmtId="167" fontId="10"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14" fillId="7" borderId="1" xfId="0" applyFont="1" applyFill="1" applyBorder="1" applyAlignment="1">
      <alignment horizontal="center" vertical="center" shrinkToFit="1"/>
    </xf>
    <xf numFmtId="167" fontId="13" fillId="7" borderId="1" xfId="0" applyNumberFormat="1" applyFont="1" applyFill="1" applyBorder="1" applyAlignment="1">
      <alignment horizontal="center" vertical="center" shrinkToFit="1"/>
    </xf>
    <xf numFmtId="167" fontId="10" fillId="7" borderId="1" xfId="0" applyNumberFormat="1" applyFont="1" applyFill="1" applyBorder="1" applyAlignment="1">
      <alignment horizontal="center" vertical="center" shrinkToFit="1"/>
    </xf>
    <xf numFmtId="0" fontId="34" fillId="0" borderId="0" xfId="0" applyFont="1" applyAlignment="1">
      <alignment horizontal="center" vertical="center"/>
    </xf>
    <xf numFmtId="0" fontId="34" fillId="0" borderId="0" xfId="0" applyFont="1" applyAlignment="1">
      <alignment horizontal="left" vertical="center" indent="1" shrinkToFit="1"/>
    </xf>
    <xf numFmtId="0" fontId="34" fillId="0" borderId="0" xfId="0" applyFont="1" applyAlignment="1">
      <alignment horizontal="center" vertical="center" shrinkToFit="1"/>
    </xf>
    <xf numFmtId="0" fontId="34" fillId="0" borderId="2" xfId="0" applyFont="1" applyBorder="1" applyAlignment="1">
      <alignment horizontal="center" vertical="top"/>
    </xf>
    <xf numFmtId="0" fontId="34" fillId="0" borderId="3" xfId="0" applyFont="1" applyBorder="1" applyAlignment="1">
      <alignment horizontal="left" vertical="top" shrinkToFit="1"/>
    </xf>
    <xf numFmtId="0" fontId="34" fillId="0" borderId="3" xfId="0" applyFont="1" applyBorder="1" applyAlignment="1">
      <alignment horizontal="center" vertical="top" shrinkToFit="1"/>
    </xf>
    <xf numFmtId="167" fontId="34" fillId="0" borderId="3" xfId="0" applyNumberFormat="1" applyFont="1" applyBorder="1" applyAlignment="1">
      <alignment horizontal="center" vertical="top" shrinkToFit="1"/>
    </xf>
    <xf numFmtId="167" fontId="34" fillId="0" borderId="0" xfId="0" applyNumberFormat="1" applyFont="1" applyAlignment="1">
      <alignment horizontal="center" vertical="top" shrinkToFit="1"/>
    </xf>
    <xf numFmtId="167" fontId="34" fillId="0" borderId="0" xfId="0" applyNumberFormat="1" applyFont="1" applyAlignment="1">
      <alignment horizontal="center" vertical="top"/>
    </xf>
    <xf numFmtId="0" fontId="34"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7"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10" fillId="2" borderId="4" xfId="0" applyNumberFormat="1" applyFont="1" applyFill="1" applyBorder="1" applyAlignment="1">
      <alignment horizontal="center" vertical="center" shrinkToFit="1"/>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36" fillId="0" borderId="2" xfId="0" applyFont="1" applyBorder="1" applyAlignment="1">
      <alignment horizontal="center" vertical="center"/>
    </xf>
    <xf numFmtId="0" fontId="38" fillId="0" borderId="1" xfId="0" applyFont="1" applyBorder="1" applyAlignment="1">
      <alignment horizontal="center" vertical="center"/>
    </xf>
    <xf numFmtId="0" fontId="36"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6" fillId="0" borderId="4" xfId="0" applyFont="1" applyBorder="1" applyAlignment="1">
      <alignment horizontal="left" vertical="center" indent="1"/>
    </xf>
    <xf numFmtId="0" fontId="36"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10"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10" fillId="2" borderId="4" xfId="0" applyNumberFormat="1" applyFont="1" applyFill="1" applyBorder="1" applyAlignment="1">
      <alignment horizontal="center" vertical="center" shrinkToFit="1"/>
    </xf>
    <xf numFmtId="166" fontId="13" fillId="2" borderId="4" xfId="0" applyNumberFormat="1" applyFont="1" applyFill="1" applyBorder="1" applyAlignment="1">
      <alignment horizontal="center" vertical="center" shrinkToFit="1"/>
    </xf>
    <xf numFmtId="166" fontId="13" fillId="10" borderId="1" xfId="0" applyNumberFormat="1" applyFont="1" applyFill="1" applyBorder="1" applyAlignment="1">
      <alignment horizontal="center" vertical="center" shrinkToFit="1"/>
    </xf>
    <xf numFmtId="0" fontId="35" fillId="0" borderId="0" xfId="0" applyFont="1" applyAlignment="1">
      <alignment horizontal="left" vertical="center" indent="1"/>
    </xf>
    <xf numFmtId="0" fontId="41" fillId="0" borderId="1" xfId="0" applyFont="1" applyBorder="1" applyAlignment="1">
      <alignment horizontal="center" vertical="center" wrapText="1"/>
    </xf>
    <xf numFmtId="168" fontId="37" fillId="0" borderId="0" xfId="0" applyNumberFormat="1"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44" fillId="0" borderId="0" xfId="0" applyFont="1" applyAlignment="1">
      <alignment horizontal="left" vertical="center"/>
    </xf>
    <xf numFmtId="9" fontId="45"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46" fillId="0" borderId="1" xfId="0" applyFont="1" applyBorder="1" applyAlignment="1">
      <alignment horizontal="left" vertical="center" indent="1"/>
    </xf>
    <xf numFmtId="0" fontId="10"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10"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43" fillId="0" borderId="0" xfId="0" applyFont="1" applyAlignment="1">
      <alignment horizontal="left" vertical="center" indent="1"/>
    </xf>
    <xf numFmtId="0" fontId="48" fillId="0" borderId="1" xfId="0" applyFont="1" applyBorder="1" applyAlignment="1">
      <alignment horizontal="left" vertical="center" indent="1"/>
    </xf>
    <xf numFmtId="0" fontId="48" fillId="0" borderId="1" xfId="0" applyFont="1" applyBorder="1" applyAlignment="1">
      <alignment horizontal="center" vertical="center"/>
    </xf>
    <xf numFmtId="170" fontId="34" fillId="0" borderId="0" xfId="0" applyNumberFormat="1" applyFont="1" applyAlignment="1">
      <alignment horizontal="center" vertical="center"/>
    </xf>
    <xf numFmtId="171" fontId="0" fillId="0" borderId="1" xfId="0" applyNumberFormat="1" applyBorder="1" applyAlignment="1">
      <alignment horizontal="center" vertical="center"/>
    </xf>
    <xf numFmtId="0" fontId="38" fillId="0" borderId="0" xfId="0" applyFont="1" applyAlignment="1">
      <alignment horizontal="left" vertical="center" indent="1"/>
    </xf>
    <xf numFmtId="0" fontId="37"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50" fillId="0" borderId="1" xfId="0" applyFont="1" applyBorder="1" applyAlignment="1">
      <alignment horizontal="left" vertical="center" wrapText="1" indent="1"/>
    </xf>
    <xf numFmtId="168" fontId="51" fillId="0" borderId="0" xfId="1" applyNumberFormat="1" applyFont="1" applyAlignment="1">
      <alignment horizontal="center" vertical="center"/>
    </xf>
    <xf numFmtId="168" fontId="51"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16"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0" xfId="0" applyFont="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19"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left" vertical="center" indent="1" shrinkToFit="1"/>
      <protection locked="0"/>
    </xf>
    <xf numFmtId="0" fontId="21"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15"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15"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10" fillId="3" borderId="1"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center" indent="1" shrinkToFit="1"/>
      <protection locked="0"/>
    </xf>
    <xf numFmtId="0" fontId="10" fillId="3" borderId="1"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67" fontId="13" fillId="4" borderId="1" xfId="0" applyNumberFormat="1" applyFont="1" applyFill="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13"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8" fontId="0" fillId="3" borderId="1" xfId="0" applyNumberFormat="1" applyFill="1" applyBorder="1" applyAlignment="1" applyProtection="1">
      <alignment horizontal="center" vertical="center" shrinkToFit="1"/>
      <protection locked="0"/>
    </xf>
    <xf numFmtId="0" fontId="10" fillId="4" borderId="1" xfId="0" applyFont="1" applyFill="1" applyBorder="1" applyAlignment="1" applyProtection="1">
      <alignment horizontal="center" vertical="center" shrinkToFit="1"/>
      <protection locked="0"/>
    </xf>
    <xf numFmtId="167" fontId="10"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10" fillId="0" borderId="0" xfId="0" applyNumberFormat="1" applyFont="1" applyAlignment="1" applyProtection="1">
      <alignment horizontal="center" vertical="center" shrinkToFit="1"/>
      <protection locked="0"/>
    </xf>
    <xf numFmtId="167"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4" borderId="1" xfId="0" applyFont="1" applyFill="1" applyBorder="1" applyAlignment="1" applyProtection="1">
      <alignment horizontal="center" vertical="center" shrinkToFit="1"/>
      <protection locked="0"/>
    </xf>
    <xf numFmtId="167" fontId="13" fillId="0" borderId="0" xfId="0" applyNumberFormat="1" applyFont="1" applyAlignment="1" applyProtection="1">
      <alignment horizontal="center" vertical="center" shrinkToFit="1"/>
      <protection locked="0"/>
    </xf>
    <xf numFmtId="167" fontId="13"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13" fillId="0" borderId="1" xfId="0" applyNumberFormat="1" applyFont="1" applyBorder="1" applyAlignment="1" applyProtection="1">
      <alignment horizontal="center" vertical="center" shrinkToFit="1"/>
      <protection locked="0"/>
    </xf>
    <xf numFmtId="0" fontId="22" fillId="0" borderId="0" xfId="0" applyFont="1" applyAlignment="1" applyProtection="1">
      <alignment horizontal="left" vertical="center" indent="1"/>
      <protection locked="0"/>
    </xf>
    <xf numFmtId="0" fontId="23" fillId="0" borderId="0" xfId="0" applyFont="1" applyAlignment="1" applyProtection="1">
      <alignment horizontal="left" vertical="center" indent="2"/>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indent="1"/>
      <protection locked="0"/>
    </xf>
    <xf numFmtId="0" fontId="23" fillId="0" borderId="0" xfId="0" applyFont="1" applyAlignment="1" applyProtection="1">
      <alignment horizontal="left" vertical="center" indent="1" shrinkToFit="1"/>
      <protection locked="0"/>
    </xf>
    <xf numFmtId="0" fontId="23" fillId="0" borderId="0" xfId="0" applyFont="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left" vertical="center" indent="1" shrinkToFit="1"/>
      <protection locked="0"/>
    </xf>
    <xf numFmtId="0" fontId="26" fillId="0" borderId="1"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10" fillId="5" borderId="1" xfId="0" applyNumberFormat="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left" vertical="center" indent="1" shrinkToFit="1"/>
      <protection locked="0"/>
    </xf>
    <xf numFmtId="0" fontId="10" fillId="5" borderId="1" xfId="0" applyFont="1" applyFill="1" applyBorder="1" applyAlignment="1" applyProtection="1">
      <alignment horizontal="center" vertical="center" shrinkToFit="1"/>
      <protection locked="0"/>
    </xf>
    <xf numFmtId="0" fontId="23"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13"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167" fontId="10" fillId="6" borderId="1" xfId="0" applyNumberFormat="1"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52" fillId="0" borderId="0" xfId="0" applyFont="1" applyAlignment="1">
      <alignment horizontal="left" vertical="center" indent="1"/>
    </xf>
    <xf numFmtId="0" fontId="53" fillId="0" borderId="0" xfId="0" applyFont="1" applyAlignment="1">
      <alignment horizontal="left" vertical="center" indent="1"/>
    </xf>
    <xf numFmtId="0" fontId="54" fillId="0" borderId="1" xfId="0" applyFont="1" applyBorder="1" applyAlignment="1">
      <alignment horizontal="left" vertical="center" indent="1"/>
    </xf>
    <xf numFmtId="0" fontId="55" fillId="0" borderId="1" xfId="0" applyFont="1" applyBorder="1" applyAlignment="1">
      <alignment horizontal="left" vertical="center" indent="1"/>
    </xf>
    <xf numFmtId="0" fontId="54" fillId="0" borderId="1" xfId="0" applyFont="1" applyBorder="1" applyAlignment="1">
      <alignment horizontal="center" vertical="center"/>
    </xf>
    <xf numFmtId="0" fontId="54" fillId="0" borderId="0" xfId="0" applyFont="1" applyAlignment="1">
      <alignment horizontal="center" vertical="center"/>
    </xf>
    <xf numFmtId="0" fontId="54" fillId="0" borderId="0" xfId="0" applyFont="1" applyAlignment="1">
      <alignment vertical="center"/>
    </xf>
    <xf numFmtId="0" fontId="0" fillId="2" borderId="2" xfId="0" applyFill="1" applyBorder="1" applyAlignment="1">
      <alignment horizontal="left" vertical="center" indent="1"/>
    </xf>
    <xf numFmtId="0" fontId="53" fillId="2" borderId="3" xfId="0" applyFont="1" applyFill="1" applyBorder="1" applyAlignment="1">
      <alignment horizontal="left" vertical="center" indent="1"/>
    </xf>
    <xf numFmtId="0" fontId="10"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53"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53" fillId="2" borderId="3" xfId="0" applyFont="1" applyFill="1" applyBorder="1" applyAlignment="1">
      <alignment horizontal="center" vertical="center"/>
    </xf>
    <xf numFmtId="0" fontId="13" fillId="15" borderId="1" xfId="0" applyFont="1" applyFill="1" applyBorder="1" applyAlignment="1">
      <alignment horizontal="left" vertical="center" indent="1"/>
    </xf>
    <xf numFmtId="0" fontId="53" fillId="15" borderId="1" xfId="0" applyFont="1" applyFill="1" applyBorder="1" applyAlignment="1">
      <alignment horizontal="center" vertical="center"/>
    </xf>
    <xf numFmtId="167" fontId="13" fillId="15" borderId="1" xfId="0" applyNumberFormat="1" applyFont="1" applyFill="1" applyBorder="1" applyAlignment="1">
      <alignment horizontal="center" vertical="center" shrinkToFit="1"/>
    </xf>
    <xf numFmtId="0" fontId="13" fillId="0" borderId="0" xfId="0" applyFont="1" applyAlignment="1">
      <alignment vertical="center"/>
    </xf>
    <xf numFmtId="0" fontId="13" fillId="2" borderId="2" xfId="0" applyFont="1" applyFill="1" applyBorder="1" applyAlignment="1">
      <alignment horizontal="left" vertical="center" indent="1"/>
    </xf>
    <xf numFmtId="167" fontId="13" fillId="2" borderId="3" xfId="0" applyNumberFormat="1" applyFont="1" applyFill="1" applyBorder="1" applyAlignment="1">
      <alignment horizontal="center" vertical="center" shrinkToFit="1"/>
    </xf>
    <xf numFmtId="167" fontId="13"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53"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53"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53" fillId="2" borderId="1" xfId="0" applyFont="1" applyFill="1" applyBorder="1" applyAlignment="1">
      <alignment horizontal="center" vertical="center"/>
    </xf>
    <xf numFmtId="0" fontId="13" fillId="0" borderId="3" xfId="0" applyFont="1" applyBorder="1" applyAlignment="1">
      <alignment horizontal="left" vertical="center" indent="1"/>
    </xf>
    <xf numFmtId="167" fontId="13" fillId="0" borderId="3" xfId="0" applyNumberFormat="1" applyFont="1" applyBorder="1" applyAlignment="1">
      <alignment horizontal="center" vertical="center" shrinkToFit="1"/>
    </xf>
    <xf numFmtId="0" fontId="53" fillId="15" borderId="1" xfId="0" applyFont="1" applyFill="1" applyBorder="1" applyAlignment="1">
      <alignment horizontal="left" vertical="center" wrapText="1" indent="1"/>
    </xf>
    <xf numFmtId="167" fontId="53" fillId="15" borderId="1"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xf>
    <xf numFmtId="0" fontId="56" fillId="0" borderId="0" xfId="0" applyFont="1" applyAlignment="1">
      <alignment horizontal="left" vertical="center" indent="1"/>
    </xf>
    <xf numFmtId="167" fontId="56" fillId="0" borderId="0" xfId="0" applyNumberFormat="1" applyFont="1" applyAlignment="1">
      <alignment horizontal="center" vertical="center" shrinkToFit="1"/>
    </xf>
    <xf numFmtId="0" fontId="56" fillId="0" borderId="0" xfId="0" applyFont="1" applyAlignment="1">
      <alignment horizontal="center" vertical="center"/>
    </xf>
    <xf numFmtId="0" fontId="56"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7"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13" fillId="0" borderId="4" xfId="0" applyNumberFormat="1" applyFont="1" applyBorder="1" applyAlignment="1">
      <alignment horizontal="center" vertical="center" shrinkToFit="1"/>
    </xf>
    <xf numFmtId="0" fontId="57" fillId="0" borderId="0" xfId="0" applyFont="1" applyAlignment="1">
      <alignment vertical="center"/>
    </xf>
    <xf numFmtId="0" fontId="38" fillId="0" borderId="7" xfId="0" applyFont="1" applyBorder="1" applyAlignment="1">
      <alignment horizontal="center" vertical="center"/>
    </xf>
    <xf numFmtId="0" fontId="17" fillId="0" borderId="0" xfId="0" applyFont="1" applyAlignment="1">
      <alignment horizontal="left" vertical="center" indent="1"/>
    </xf>
    <xf numFmtId="0" fontId="0" fillId="0" borderId="0" xfId="0" applyAlignment="1">
      <alignment horizontal="center" vertical="center" wrapText="1"/>
    </xf>
    <xf numFmtId="0" fontId="19" fillId="0" borderId="1" xfId="0" applyFont="1" applyBorder="1" applyAlignment="1">
      <alignment horizontal="left" vertical="center" wrapText="1" indent="1"/>
    </xf>
    <xf numFmtId="0" fontId="19"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9" fillId="0" borderId="0" xfId="0" applyFont="1" applyAlignment="1">
      <alignment horizontal="left" vertical="center" indent="1"/>
    </xf>
    <xf numFmtId="0" fontId="19" fillId="0" borderId="12" xfId="0" applyFont="1" applyBorder="1" applyAlignment="1">
      <alignment horizontal="left" vertical="center" wrapText="1" indent="1"/>
    </xf>
    <xf numFmtId="0" fontId="13" fillId="17" borderId="1" xfId="0" applyFont="1" applyFill="1" applyBorder="1" applyAlignment="1">
      <alignment horizontal="left" vertical="center" wrapText="1" indent="1"/>
    </xf>
    <xf numFmtId="0" fontId="13"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13" fillId="17" borderId="1" xfId="0" applyNumberFormat="1" applyFont="1" applyFill="1" applyBorder="1" applyAlignment="1">
      <alignment horizontal="center" vertical="center"/>
    </xf>
    <xf numFmtId="0" fontId="59" fillId="0" borderId="0" xfId="0" applyFont="1" applyAlignment="1" applyProtection="1">
      <alignment horizontal="left" vertical="center" indent="1"/>
      <protection locked="0"/>
    </xf>
    <xf numFmtId="0" fontId="60" fillId="0" borderId="0" xfId="0" applyFont="1" applyAlignment="1">
      <alignment horizontal="left" vertical="center" indent="1"/>
    </xf>
    <xf numFmtId="0" fontId="53" fillId="0" borderId="0" xfId="0" applyFont="1" applyAlignment="1">
      <alignment horizontal="left" vertical="center"/>
    </xf>
    <xf numFmtId="0" fontId="61" fillId="0" borderId="1" xfId="0" applyFont="1" applyBorder="1" applyAlignment="1">
      <alignment horizontal="center" vertical="center"/>
    </xf>
    <xf numFmtId="0" fontId="61" fillId="0" borderId="0" xfId="0" applyFont="1" applyAlignment="1">
      <alignment horizontal="center" vertical="center"/>
    </xf>
    <xf numFmtId="0" fontId="62" fillId="2" borderId="3" xfId="0" applyFont="1" applyFill="1" applyBorder="1" applyAlignment="1">
      <alignment horizontal="center" vertical="center"/>
    </xf>
    <xf numFmtId="0" fontId="62" fillId="2" borderId="4" xfId="0" applyFont="1" applyFill="1" applyBorder="1" applyAlignment="1">
      <alignment horizontal="center" vertical="center"/>
    </xf>
    <xf numFmtId="0" fontId="62" fillId="0" borderId="0" xfId="0" applyFont="1" applyAlignment="1">
      <alignment horizontal="center" vertical="center"/>
    </xf>
    <xf numFmtId="0" fontId="61" fillId="0" borderId="1" xfId="0" applyFont="1" applyBorder="1" applyAlignment="1">
      <alignment horizontal="left" vertical="center" indent="1"/>
    </xf>
    <xf numFmtId="0" fontId="63"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53"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13" fillId="19" borderId="1" xfId="0" applyFont="1" applyFill="1" applyBorder="1" applyAlignment="1">
      <alignment horizontal="left" vertical="center" indent="1"/>
    </xf>
    <xf numFmtId="0" fontId="53" fillId="19" borderId="1" xfId="0" applyFont="1" applyFill="1" applyBorder="1" applyAlignment="1">
      <alignment horizontal="center" vertical="center"/>
    </xf>
    <xf numFmtId="167" fontId="13"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9" fillId="0" borderId="0" xfId="0" applyFont="1" applyAlignment="1">
      <alignment horizontal="center" vertical="center"/>
    </xf>
    <xf numFmtId="0" fontId="45"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64" fillId="0" borderId="0" xfId="0" applyFont="1" applyAlignment="1">
      <alignment horizontal="left" vertical="center" wrapText="1" indent="1"/>
    </xf>
    <xf numFmtId="0" fontId="65" fillId="0" borderId="0" xfId="0" applyFont="1" applyAlignment="1">
      <alignment horizontal="left" vertical="center" wrapText="1" indent="1"/>
    </xf>
    <xf numFmtId="0" fontId="0" fillId="22" borderId="1" xfId="0" applyFill="1" applyBorder="1" applyAlignment="1">
      <alignment horizontal="left" vertical="center" wrapText="1" indent="1"/>
    </xf>
    <xf numFmtId="0" fontId="44" fillId="0" borderId="0" xfId="0" applyFont="1" applyAlignment="1">
      <alignment horizontal="left" vertical="center" indent="1"/>
    </xf>
    <xf numFmtId="0" fontId="66" fillId="0" borderId="0" xfId="0" applyFont="1" applyAlignment="1">
      <alignment vertical="center"/>
    </xf>
    <xf numFmtId="0" fontId="0" fillId="0" borderId="0" xfId="0" applyAlignment="1">
      <alignment horizontal="right" vertical="center" indent="1"/>
    </xf>
    <xf numFmtId="0" fontId="68" fillId="0" borderId="0" xfId="0" applyFont="1" applyAlignment="1">
      <alignment horizontal="center" vertical="center"/>
    </xf>
    <xf numFmtId="0" fontId="0" fillId="10" borderId="10" xfId="0" applyFill="1" applyBorder="1" applyAlignment="1">
      <alignment horizontal="center" vertical="center"/>
    </xf>
    <xf numFmtId="3" fontId="53" fillId="23" borderId="10" xfId="0" applyNumberFormat="1" applyFont="1" applyFill="1" applyBorder="1" applyAlignment="1">
      <alignment horizontal="center" vertical="center"/>
    </xf>
    <xf numFmtId="0" fontId="69" fillId="0" borderId="1" xfId="0" applyFont="1" applyBorder="1" applyAlignment="1">
      <alignment horizontal="left" vertical="center" indent="1"/>
    </xf>
    <xf numFmtId="0" fontId="66" fillId="0" borderId="1" xfId="0" applyFont="1" applyBorder="1" applyAlignment="1">
      <alignment horizontal="center" vertical="center"/>
    </xf>
    <xf numFmtId="0" fontId="69" fillId="10" borderId="1" xfId="0" applyFont="1" applyFill="1" applyBorder="1" applyAlignment="1">
      <alignment horizontal="center" vertical="center"/>
    </xf>
    <xf numFmtId="0" fontId="69" fillId="23" borderId="1" xfId="0" applyFont="1" applyFill="1" applyBorder="1" applyAlignment="1">
      <alignment horizontal="center" vertical="center"/>
    </xf>
    <xf numFmtId="0" fontId="69"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53"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71" fillId="2" borderId="1" xfId="0" applyNumberFormat="1" applyFont="1" applyFill="1" applyBorder="1" applyAlignment="1">
      <alignment horizontal="left" vertical="center" shrinkToFit="1"/>
    </xf>
    <xf numFmtId="167" fontId="50" fillId="2" borderId="1" xfId="0" applyNumberFormat="1" applyFont="1" applyFill="1" applyBorder="1" applyAlignment="1">
      <alignment horizontal="right" vertical="center" shrinkToFit="1"/>
    </xf>
    <xf numFmtId="167" fontId="50" fillId="0" borderId="0" xfId="0" applyNumberFormat="1" applyFont="1" applyAlignment="1">
      <alignment horizontal="right" vertical="center" shrinkToFit="1"/>
    </xf>
    <xf numFmtId="167" fontId="50" fillId="0" borderId="0" xfId="0" applyNumberFormat="1" applyFont="1" applyAlignment="1">
      <alignment horizontal="right" vertical="center"/>
    </xf>
    <xf numFmtId="167" fontId="15" fillId="2" borderId="1" xfId="0" applyNumberFormat="1" applyFont="1" applyFill="1" applyBorder="1" applyAlignment="1">
      <alignment horizontal="center" vertical="center" shrinkToFit="1"/>
    </xf>
    <xf numFmtId="167" fontId="50" fillId="0" borderId="1" xfId="0" applyNumberFormat="1" applyFont="1" applyBorder="1" applyAlignment="1">
      <alignment horizontal="center" vertical="center" shrinkToFit="1"/>
    </xf>
    <xf numFmtId="167" fontId="50" fillId="0" borderId="1" xfId="0" applyNumberFormat="1" applyFont="1" applyBorder="1" applyAlignment="1">
      <alignment vertical="center" shrinkToFit="1"/>
    </xf>
    <xf numFmtId="167" fontId="50" fillId="0" borderId="0" xfId="0" applyNumberFormat="1" applyFont="1" applyAlignment="1">
      <alignment vertical="center" shrinkToFit="1"/>
    </xf>
    <xf numFmtId="167" fontId="50" fillId="0" borderId="0" xfId="0" applyNumberFormat="1" applyFont="1" applyAlignment="1">
      <alignment vertical="center"/>
    </xf>
    <xf numFmtId="167" fontId="50" fillId="2" borderId="1" xfId="0" applyNumberFormat="1" applyFont="1" applyFill="1" applyBorder="1" applyAlignment="1">
      <alignment horizontal="center" vertical="center" shrinkToFit="1"/>
    </xf>
    <xf numFmtId="167" fontId="50" fillId="2" borderId="1" xfId="0" applyNumberFormat="1" applyFont="1" applyFill="1" applyBorder="1" applyAlignment="1">
      <alignment vertical="center" shrinkToFit="1"/>
    </xf>
    <xf numFmtId="167" fontId="50"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50" fillId="0" borderId="0" xfId="0" applyNumberFormat="1" applyFont="1" applyAlignment="1">
      <alignment horizontal="left" vertical="center" indent="1"/>
    </xf>
    <xf numFmtId="167" fontId="50"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53" fillId="22" borderId="1" xfId="0" applyFont="1" applyFill="1" applyBorder="1" applyAlignment="1">
      <alignment horizontal="center" vertical="center"/>
    </xf>
    <xf numFmtId="0" fontId="72" fillId="0" borderId="0" xfId="0" applyFont="1" applyAlignment="1">
      <alignment vertical="center"/>
    </xf>
    <xf numFmtId="0" fontId="50" fillId="0" borderId="1" xfId="0" applyFont="1" applyBorder="1" applyAlignment="1">
      <alignment vertical="top" wrapText="1"/>
    </xf>
    <xf numFmtId="0" fontId="50" fillId="0" borderId="1" xfId="0" applyFont="1" applyBorder="1" applyAlignment="1">
      <alignment wrapText="1"/>
    </xf>
    <xf numFmtId="0" fontId="77" fillId="0" borderId="0" xfId="5" applyFont="1"/>
    <xf numFmtId="0" fontId="78" fillId="0" borderId="0" xfId="5" applyFont="1"/>
    <xf numFmtId="0" fontId="77" fillId="0" borderId="2" xfId="5" applyFont="1" applyBorder="1"/>
    <xf numFmtId="0" fontId="77" fillId="0" borderId="3" xfId="5" applyFont="1" applyBorder="1"/>
    <xf numFmtId="0" fontId="77" fillId="0" borderId="1" xfId="5" applyFont="1" applyBorder="1"/>
    <xf numFmtId="0" fontId="79" fillId="0" borderId="0" xfId="6"/>
    <xf numFmtId="0" fontId="80" fillId="0" borderId="1" xfId="6" applyFont="1" applyBorder="1" applyAlignment="1">
      <alignment horizontal="center"/>
    </xf>
    <xf numFmtId="0" fontId="77" fillId="26" borderId="1" xfId="5" applyFont="1" applyFill="1" applyBorder="1"/>
    <xf numFmtId="0" fontId="77" fillId="26" borderId="1" xfId="5" applyFont="1" applyFill="1" applyBorder="1" applyAlignment="1">
      <alignment horizontal="center"/>
    </xf>
    <xf numFmtId="0" fontId="80" fillId="26" borderId="1" xfId="6" applyFont="1" applyFill="1" applyBorder="1"/>
    <xf numFmtId="0" fontId="77" fillId="0" borderId="1" xfId="5" applyFont="1" applyBorder="1" applyAlignment="1">
      <alignment horizontal="center"/>
    </xf>
    <xf numFmtId="174" fontId="77" fillId="0" borderId="1" xfId="5" applyNumberFormat="1" applyFont="1" applyBorder="1"/>
    <xf numFmtId="1" fontId="77" fillId="0" borderId="1" xfId="5" applyNumberFormat="1" applyFont="1" applyBorder="1"/>
    <xf numFmtId="3" fontId="77" fillId="0" borderId="1" xfId="5" applyNumberFormat="1" applyFont="1" applyBorder="1"/>
    <xf numFmtId="176" fontId="77" fillId="0" borderId="1" xfId="5" applyNumberFormat="1" applyFont="1" applyBorder="1"/>
    <xf numFmtId="177" fontId="77" fillId="0" borderId="1" xfId="5" applyNumberFormat="1" applyFont="1" applyBorder="1"/>
    <xf numFmtId="3" fontId="77" fillId="3" borderId="1" xfId="5" applyNumberFormat="1" applyFont="1" applyFill="1" applyBorder="1"/>
    <xf numFmtId="1" fontId="77" fillId="3" borderId="1" xfId="5" applyNumberFormat="1" applyFont="1" applyFill="1" applyBorder="1"/>
    <xf numFmtId="176" fontId="77" fillId="0" borderId="0" xfId="5" applyNumberFormat="1" applyFont="1"/>
    <xf numFmtId="3" fontId="77" fillId="0" borderId="0" xfId="5" applyNumberFormat="1" applyFont="1"/>
    <xf numFmtId="1" fontId="77" fillId="0" borderId="0" xfId="5" applyNumberFormat="1" applyFont="1"/>
    <xf numFmtId="178" fontId="77" fillId="0" borderId="1" xfId="5" applyNumberFormat="1" applyFont="1" applyBorder="1"/>
    <xf numFmtId="177" fontId="77" fillId="0" borderId="0" xfId="5" applyNumberFormat="1" applyFont="1"/>
    <xf numFmtId="178" fontId="77" fillId="0" borderId="0" xfId="5" applyNumberFormat="1" applyFont="1"/>
    <xf numFmtId="2" fontId="80" fillId="0" borderId="1" xfId="6" applyNumberFormat="1" applyFont="1" applyBorder="1" applyAlignment="1">
      <alignment horizontal="center"/>
    </xf>
    <xf numFmtId="2" fontId="80" fillId="0" borderId="0" xfId="6" applyNumberFormat="1" applyFont="1" applyAlignment="1">
      <alignment horizontal="center"/>
    </xf>
    <xf numFmtId="0" fontId="82" fillId="0" borderId="0" xfId="6" applyFont="1"/>
    <xf numFmtId="0" fontId="77" fillId="0" borderId="0" xfId="5" applyFont="1" applyAlignment="1">
      <alignment horizontal="left"/>
    </xf>
    <xf numFmtId="178" fontId="77" fillId="3" borderId="1" xfId="5" applyNumberFormat="1" applyFont="1" applyFill="1" applyBorder="1"/>
    <xf numFmtId="178" fontId="77" fillId="3" borderId="16" xfId="5" applyNumberFormat="1" applyFont="1" applyFill="1" applyBorder="1"/>
    <xf numFmtId="0" fontId="77" fillId="27" borderId="0" xfId="5" applyFont="1" applyFill="1"/>
    <xf numFmtId="0" fontId="82" fillId="27" borderId="0" xfId="6" applyFont="1" applyFill="1" applyAlignment="1">
      <alignment wrapText="1"/>
    </xf>
    <xf numFmtId="0" fontId="82" fillId="3" borderId="28" xfId="6" applyFont="1" applyFill="1" applyBorder="1"/>
    <xf numFmtId="2" fontId="82" fillId="27" borderId="0" xfId="6" applyNumberFormat="1" applyFont="1" applyFill="1"/>
    <xf numFmtId="1" fontId="83" fillId="27" borderId="0" xfId="6" applyNumberFormat="1" applyFont="1" applyFill="1"/>
    <xf numFmtId="0" fontId="82" fillId="3" borderId="31" xfId="6" applyFont="1" applyFill="1" applyBorder="1"/>
    <xf numFmtId="0" fontId="82" fillId="27" borderId="0" xfId="6" applyFont="1" applyFill="1"/>
    <xf numFmtId="9" fontId="82" fillId="3" borderId="30" xfId="7" applyFont="1" applyFill="1" applyBorder="1"/>
    <xf numFmtId="3" fontId="82" fillId="3" borderId="34" xfId="6" applyNumberFormat="1" applyFont="1" applyFill="1" applyBorder="1"/>
    <xf numFmtId="0" fontId="82" fillId="3" borderId="35" xfId="6" applyFont="1" applyFill="1" applyBorder="1"/>
    <xf numFmtId="3" fontId="82" fillId="27" borderId="0" xfId="6" applyNumberFormat="1" applyFont="1" applyFill="1"/>
    <xf numFmtId="0" fontId="77" fillId="0" borderId="16" xfId="5" applyFont="1" applyBorder="1" applyAlignment="1">
      <alignment wrapText="1"/>
    </xf>
    <xf numFmtId="177" fontId="78" fillId="0" borderId="36" xfId="5" applyNumberFormat="1" applyFont="1" applyBorder="1"/>
    <xf numFmtId="0" fontId="77" fillId="0" borderId="37" xfId="5" applyFont="1" applyBorder="1"/>
    <xf numFmtId="177" fontId="78" fillId="0" borderId="0" xfId="5" applyNumberFormat="1" applyFont="1"/>
    <xf numFmtId="2" fontId="80" fillId="0" borderId="0" xfId="7" applyNumberFormat="1" applyFont="1" applyBorder="1" applyAlignment="1">
      <alignment horizontal="center"/>
    </xf>
    <xf numFmtId="0" fontId="77" fillId="0" borderId="38" xfId="5" applyFont="1" applyBorder="1" applyAlignment="1">
      <alignment wrapText="1"/>
    </xf>
    <xf numFmtId="177" fontId="78" fillId="0" borderId="39" xfId="5" applyNumberFormat="1" applyFont="1" applyBorder="1"/>
    <xf numFmtId="0" fontId="77" fillId="0" borderId="40" xfId="5" applyFont="1" applyBorder="1"/>
    <xf numFmtId="0" fontId="77" fillId="0" borderId="41" xfId="5" applyFont="1" applyBorder="1" applyAlignment="1">
      <alignment wrapText="1"/>
    </xf>
    <xf numFmtId="177" fontId="78" fillId="25" borderId="42" xfId="5" applyNumberFormat="1" applyFont="1" applyFill="1" applyBorder="1"/>
    <xf numFmtId="0" fontId="77" fillId="0" borderId="43" xfId="5" applyFont="1" applyBorder="1"/>
    <xf numFmtId="3" fontId="78" fillId="0" borderId="42" xfId="5" applyNumberFormat="1" applyFont="1" applyBorder="1"/>
    <xf numFmtId="180" fontId="78" fillId="0" borderId="0" xfId="5" applyNumberFormat="1" applyFont="1"/>
    <xf numFmtId="0" fontId="77" fillId="0" borderId="17" xfId="5" applyFont="1" applyBorder="1" applyAlignment="1">
      <alignment wrapText="1"/>
    </xf>
    <xf numFmtId="3" fontId="78" fillId="0" borderId="44" xfId="5" applyNumberFormat="1" applyFont="1" applyBorder="1"/>
    <xf numFmtId="0" fontId="77" fillId="0" borderId="45" xfId="5" applyFont="1" applyBorder="1"/>
    <xf numFmtId="3" fontId="78" fillId="0" borderId="0" xfId="5" applyNumberFormat="1" applyFont="1"/>
    <xf numFmtId="0" fontId="81" fillId="0" borderId="0" xfId="6" applyFont="1" applyAlignment="1">
      <alignment wrapText="1"/>
    </xf>
    <xf numFmtId="0" fontId="81" fillId="0" borderId="0" xfId="6" applyFont="1"/>
    <xf numFmtId="0" fontId="84" fillId="26" borderId="1" xfId="5" applyFont="1" applyFill="1" applyBorder="1"/>
    <xf numFmtId="0" fontId="86" fillId="0" borderId="1" xfId="5" applyFont="1" applyBorder="1"/>
    <xf numFmtId="0" fontId="85" fillId="0" borderId="1" xfId="5" applyFont="1" applyBorder="1"/>
    <xf numFmtId="0" fontId="84" fillId="0" borderId="1" xfId="5" applyFont="1" applyBorder="1"/>
    <xf numFmtId="0" fontId="84" fillId="0" borderId="1" xfId="5" applyFont="1" applyBorder="1" applyAlignment="1">
      <alignment horizontal="left" indent="1"/>
    </xf>
    <xf numFmtId="1" fontId="84" fillId="27" borderId="1" xfId="5" applyNumberFormat="1" applyFont="1" applyFill="1" applyBorder="1"/>
    <xf numFmtId="174" fontId="84" fillId="27" borderId="1" xfId="5" applyNumberFormat="1" applyFont="1" applyFill="1" applyBorder="1"/>
    <xf numFmtId="3" fontId="84" fillId="0" borderId="1" xfId="5" applyNumberFormat="1" applyFont="1" applyBorder="1"/>
    <xf numFmtId="0" fontId="85" fillId="0" borderId="1" xfId="5" applyFont="1" applyBorder="1" applyAlignment="1">
      <alignment wrapText="1"/>
    </xf>
    <xf numFmtId="175" fontId="84" fillId="0" borderId="1" xfId="5" applyNumberFormat="1" applyFont="1" applyBorder="1"/>
    <xf numFmtId="176" fontId="84" fillId="0" borderId="1" xfId="5" applyNumberFormat="1" applyFont="1" applyBorder="1"/>
    <xf numFmtId="9" fontId="84" fillId="0" borderId="1" xfId="5" applyNumberFormat="1" applyFont="1" applyBorder="1"/>
    <xf numFmtId="1" fontId="84" fillId="0" borderId="1" xfId="5" applyNumberFormat="1" applyFont="1" applyBorder="1"/>
    <xf numFmtId="168" fontId="84" fillId="0" borderId="1" xfId="5" applyNumberFormat="1" applyFont="1" applyBorder="1"/>
    <xf numFmtId="177" fontId="84" fillId="0" borderId="1" xfId="5" applyNumberFormat="1" applyFont="1" applyBorder="1"/>
    <xf numFmtId="0" fontId="84" fillId="0" borderId="1" xfId="5" applyFont="1" applyBorder="1" applyAlignment="1">
      <alignment horizontal="left" indent="3"/>
    </xf>
    <xf numFmtId="10" fontId="84" fillId="0" borderId="1" xfId="5" applyNumberFormat="1" applyFont="1" applyBorder="1" applyAlignment="1">
      <alignment horizontal="right"/>
    </xf>
    <xf numFmtId="10" fontId="84" fillId="0" borderId="1" xfId="5" applyNumberFormat="1" applyFont="1" applyBorder="1" applyAlignment="1">
      <alignment horizontal="left" indent="3"/>
    </xf>
    <xf numFmtId="0" fontId="84" fillId="0" borderId="1" xfId="5" applyFont="1" applyBorder="1" applyAlignment="1">
      <alignment wrapText="1"/>
    </xf>
    <xf numFmtId="0" fontId="84" fillId="0" borderId="1" xfId="5" applyFont="1" applyBorder="1" applyAlignment="1">
      <alignment horizontal="left" wrapText="1" indent="1"/>
    </xf>
    <xf numFmtId="0" fontId="87" fillId="3" borderId="1" xfId="5" applyFont="1" applyFill="1" applyBorder="1" applyAlignment="1">
      <alignment wrapText="1"/>
    </xf>
    <xf numFmtId="0" fontId="85" fillId="3" borderId="1" xfId="5" applyFont="1" applyFill="1" applyBorder="1"/>
    <xf numFmtId="177" fontId="84" fillId="3" borderId="1" xfId="5" applyNumberFormat="1" applyFont="1" applyFill="1" applyBorder="1"/>
    <xf numFmtId="0" fontId="84" fillId="3" borderId="1" xfId="5" applyFont="1" applyFill="1" applyBorder="1" applyAlignment="1">
      <alignment horizontal="left" wrapText="1" indent="2"/>
    </xf>
    <xf numFmtId="0" fontId="84" fillId="3" borderId="1" xfId="5" applyFont="1" applyFill="1" applyBorder="1" applyAlignment="1">
      <alignment horizontal="left" wrapText="1" indent="4"/>
    </xf>
    <xf numFmtId="0" fontId="87" fillId="3" borderId="1" xfId="5" applyFont="1" applyFill="1" applyBorder="1"/>
    <xf numFmtId="3" fontId="84" fillId="3" borderId="1" xfId="5" applyNumberFormat="1" applyFont="1" applyFill="1" applyBorder="1"/>
    <xf numFmtId="0" fontId="84" fillId="3" borderId="1" xfId="5" applyFont="1" applyFill="1" applyBorder="1" applyAlignment="1">
      <alignment horizontal="left" indent="1"/>
    </xf>
    <xf numFmtId="1" fontId="84" fillId="3" borderId="1" xfId="5" applyNumberFormat="1" applyFont="1" applyFill="1" applyBorder="1"/>
    <xf numFmtId="0" fontId="84" fillId="3" borderId="1" xfId="5" applyFont="1" applyFill="1" applyBorder="1"/>
    <xf numFmtId="176" fontId="84" fillId="3" borderId="1" xfId="5" applyNumberFormat="1" applyFont="1" applyFill="1" applyBorder="1"/>
    <xf numFmtId="0" fontId="85" fillId="3" borderId="1" xfId="5" applyFont="1" applyFill="1" applyBorder="1" applyAlignment="1">
      <alignment wrapText="1"/>
    </xf>
    <xf numFmtId="0" fontId="84" fillId="0" borderId="0" xfId="5" applyFont="1" applyAlignment="1">
      <alignment horizontal="left" indent="1"/>
    </xf>
    <xf numFmtId="0" fontId="84" fillId="0" borderId="0" xfId="5" applyFont="1"/>
    <xf numFmtId="0" fontId="85" fillId="0" borderId="0" xfId="5" applyFont="1"/>
    <xf numFmtId="3" fontId="84" fillId="0" borderId="0" xfId="5" applyNumberFormat="1" applyFont="1"/>
    <xf numFmtId="0" fontId="87" fillId="0" borderId="0" xfId="5" applyFont="1"/>
    <xf numFmtId="0" fontId="84" fillId="0" borderId="2" xfId="5" applyFont="1" applyBorder="1"/>
    <xf numFmtId="178" fontId="84" fillId="0" borderId="1" xfId="5" applyNumberFormat="1" applyFont="1" applyBorder="1"/>
    <xf numFmtId="177" fontId="84" fillId="0" borderId="0" xfId="5" applyNumberFormat="1" applyFont="1"/>
    <xf numFmtId="178" fontId="84" fillId="0" borderId="0" xfId="5" applyNumberFormat="1" applyFont="1"/>
    <xf numFmtId="0" fontId="82" fillId="0" borderId="1" xfId="6" applyFont="1" applyBorder="1" applyAlignment="1">
      <alignment wrapText="1"/>
    </xf>
    <xf numFmtId="9" fontId="85" fillId="0" borderId="0" xfId="5" applyNumberFormat="1" applyFont="1"/>
    <xf numFmtId="0" fontId="82" fillId="0" borderId="0" xfId="6" applyFont="1" applyAlignment="1">
      <alignment wrapText="1"/>
    </xf>
    <xf numFmtId="0" fontId="80" fillId="0" borderId="0" xfId="6" applyFont="1" applyAlignment="1">
      <alignment horizontal="center"/>
    </xf>
    <xf numFmtId="0" fontId="82" fillId="3" borderId="1" xfId="6" applyFont="1" applyFill="1" applyBorder="1" applyAlignment="1">
      <alignment wrapText="1"/>
    </xf>
    <xf numFmtId="178" fontId="84" fillId="3" borderId="1" xfId="5" applyNumberFormat="1" applyFont="1" applyFill="1" applyBorder="1"/>
    <xf numFmtId="0" fontId="84" fillId="27" borderId="0" xfId="5" applyFont="1" applyFill="1"/>
    <xf numFmtId="0" fontId="85" fillId="27" borderId="0" xfId="5" applyFont="1" applyFill="1"/>
    <xf numFmtId="179" fontId="84" fillId="3" borderId="27" xfId="5" applyNumberFormat="1" applyFont="1" applyFill="1" applyBorder="1"/>
    <xf numFmtId="0" fontId="84" fillId="0" borderId="1" xfId="5" applyFont="1" applyBorder="1" applyAlignment="1">
      <alignment horizontal="left" indent="2"/>
    </xf>
    <xf numFmtId="0" fontId="77" fillId="0" borderId="0" xfId="0" applyFont="1"/>
    <xf numFmtId="0" fontId="77" fillId="0" borderId="2" xfId="0" applyFont="1" applyBorder="1"/>
    <xf numFmtId="0" fontId="77" fillId="0" borderId="4" xfId="0" applyFont="1" applyBorder="1"/>
    <xf numFmtId="1" fontId="77" fillId="0" borderId="0" xfId="0" applyNumberFormat="1" applyFont="1"/>
    <xf numFmtId="3" fontId="77" fillId="0" borderId="0" xfId="0" applyNumberFormat="1" applyFont="1"/>
    <xf numFmtId="1" fontId="79" fillId="0" borderId="1" xfId="6" applyNumberFormat="1" applyBorder="1"/>
    <xf numFmtId="9" fontId="77" fillId="27" borderId="1" xfId="1" applyFont="1" applyFill="1" applyBorder="1"/>
    <xf numFmtId="9" fontId="84" fillId="27" borderId="1" xfId="1" applyFont="1" applyFill="1" applyBorder="1"/>
    <xf numFmtId="3" fontId="77" fillId="0" borderId="1" xfId="5" applyNumberFormat="1" applyFont="1" applyBorder="1" applyAlignment="1">
      <alignment horizontal="right"/>
    </xf>
    <xf numFmtId="174" fontId="77" fillId="0" borderId="0" xfId="5" applyNumberFormat="1" applyFont="1"/>
    <xf numFmtId="175" fontId="77" fillId="0" borderId="1" xfId="5" applyNumberFormat="1" applyFont="1" applyBorder="1"/>
    <xf numFmtId="0" fontId="84" fillId="27" borderId="0" xfId="0" applyFont="1" applyFill="1"/>
    <xf numFmtId="0" fontId="82" fillId="27" borderId="10" xfId="0" applyFont="1" applyFill="1" applyBorder="1" applyAlignment="1">
      <alignment vertical="center" wrapText="1"/>
    </xf>
    <xf numFmtId="0" fontId="84" fillId="27" borderId="10" xfId="0" applyFont="1" applyFill="1" applyBorder="1"/>
    <xf numFmtId="179" fontId="77" fillId="0" borderId="0" xfId="11" applyNumberFormat="1" applyFont="1"/>
    <xf numFmtId="1" fontId="82" fillId="0" borderId="0" xfId="6" applyNumberFormat="1" applyFont="1"/>
    <xf numFmtId="9" fontId="82" fillId="0" borderId="0" xfId="7" applyFont="1" applyBorder="1" applyAlignment="1"/>
    <xf numFmtId="3" fontId="82" fillId="0" borderId="0" xfId="6" applyNumberFormat="1" applyFont="1"/>
    <xf numFmtId="3" fontId="0" fillId="3" borderId="1" xfId="0" applyNumberFormat="1" applyFill="1" applyBorder="1" applyAlignment="1" applyProtection="1">
      <alignment horizontal="left" vertical="center" indent="1" shrinkToFit="1"/>
      <protection locked="0"/>
    </xf>
    <xf numFmtId="0" fontId="85" fillId="26" borderId="1" xfId="5" applyFont="1" applyFill="1" applyBorder="1" applyAlignment="1">
      <alignment horizontal="right" vertical="top"/>
    </xf>
    <xf numFmtId="174" fontId="91" fillId="0" borderId="1" xfId="5" applyNumberFormat="1" applyFont="1" applyBorder="1"/>
    <xf numFmtId="174" fontId="91" fillId="0" borderId="1" xfId="5" applyNumberFormat="1" applyFont="1" applyBorder="1" applyAlignment="1">
      <alignment horizontal="right"/>
    </xf>
    <xf numFmtId="0" fontId="84" fillId="0" borderId="1" xfId="5" applyFont="1" applyBorder="1" applyAlignment="1">
      <alignment horizontal="left" wrapText="1" indent="2"/>
    </xf>
    <xf numFmtId="1" fontId="77" fillId="0" borderId="2" xfId="0" applyNumberFormat="1" applyFont="1" applyBorder="1"/>
    <xf numFmtId="174" fontId="77" fillId="0" borderId="2" xfId="0" applyNumberFormat="1" applyFont="1" applyBorder="1"/>
    <xf numFmtId="9" fontId="77" fillId="0" borderId="2" xfId="1" applyFont="1" applyBorder="1"/>
    <xf numFmtId="0" fontId="92" fillId="0" borderId="1" xfId="5" applyFont="1" applyBorder="1"/>
    <xf numFmtId="174" fontId="77" fillId="0" borderId="0" xfId="0" applyNumberFormat="1" applyFont="1"/>
    <xf numFmtId="0" fontId="79" fillId="26" borderId="0" xfId="6" applyFill="1"/>
    <xf numFmtId="0" fontId="85" fillId="26" borderId="0" xfId="5" applyFont="1" applyFill="1"/>
    <xf numFmtId="3" fontId="0" fillId="0" borderId="0" xfId="0" applyNumberFormat="1" applyAlignment="1" applyProtection="1">
      <alignment horizontal="center" vertical="center"/>
      <protection locked="0"/>
    </xf>
    <xf numFmtId="3" fontId="0" fillId="0" borderId="0" xfId="0" applyNumberFormat="1" applyAlignment="1">
      <alignment vertical="center"/>
    </xf>
    <xf numFmtId="0" fontId="88" fillId="0" borderId="0" xfId="12" applyFont="1"/>
    <xf numFmtId="0" fontId="77" fillId="0" borderId="0" xfId="12" applyFont="1"/>
    <xf numFmtId="0" fontId="0" fillId="0" borderId="1" xfId="0" applyBorder="1" applyAlignment="1">
      <alignment horizontal="center"/>
    </xf>
    <xf numFmtId="0" fontId="77" fillId="0" borderId="1" xfId="12" applyFont="1" applyBorder="1" applyAlignment="1">
      <alignment horizontal="center"/>
    </xf>
    <xf numFmtId="9" fontId="77" fillId="0" borderId="1" xfId="1" applyFont="1" applyBorder="1" applyAlignment="1">
      <alignment horizontal="center"/>
    </xf>
    <xf numFmtId="3" fontId="77" fillId="0" borderId="1" xfId="12" applyNumberFormat="1" applyFont="1" applyBorder="1" applyAlignment="1">
      <alignment horizontal="center"/>
    </xf>
    <xf numFmtId="3" fontId="13" fillId="0" borderId="3" xfId="0" applyNumberFormat="1" applyFont="1" applyBorder="1" applyAlignment="1" applyProtection="1">
      <alignment horizontal="center" vertical="center" shrinkToFit="1"/>
      <protection locked="0"/>
    </xf>
    <xf numFmtId="170" fontId="50" fillId="0" borderId="1" xfId="0" applyNumberFormat="1" applyFont="1" applyBorder="1" applyAlignment="1">
      <alignment horizontal="center" vertical="center"/>
    </xf>
    <xf numFmtId="49" fontId="77" fillId="0" borderId="1" xfId="0" applyNumberFormat="1" applyFont="1" applyBorder="1" applyAlignment="1">
      <alignment horizontal="center"/>
    </xf>
    <xf numFmtId="9" fontId="77" fillId="0" borderId="1" xfId="0" applyNumberFormat="1" applyFont="1" applyBorder="1" applyAlignment="1">
      <alignment horizontal="center"/>
    </xf>
    <xf numFmtId="0" fontId="77" fillId="0" borderId="1" xfId="0" applyFont="1" applyBorder="1" applyAlignment="1">
      <alignment horizontal="left" wrapText="1"/>
    </xf>
    <xf numFmtId="181" fontId="0" fillId="0" borderId="1" xfId="0" applyNumberFormat="1" applyBorder="1" applyAlignment="1" applyProtection="1">
      <alignment horizontal="center" vertical="center" shrinkToFit="1"/>
      <protection locked="0"/>
    </xf>
    <xf numFmtId="174" fontId="82" fillId="3" borderId="30" xfId="6" applyNumberFormat="1" applyFont="1" applyFill="1" applyBorder="1"/>
    <xf numFmtId="9" fontId="77" fillId="0" borderId="0" xfId="1" applyFont="1"/>
    <xf numFmtId="166" fontId="50" fillId="0" borderId="1" xfId="0" applyNumberFormat="1" applyFont="1" applyBorder="1" applyAlignment="1">
      <alignment horizontal="center" vertical="center" shrinkToFit="1"/>
    </xf>
    <xf numFmtId="3" fontId="96" fillId="0" borderId="0" xfId="6" applyNumberFormat="1" applyFont="1"/>
    <xf numFmtId="0" fontId="85" fillId="0" borderId="0" xfId="6" applyFont="1"/>
    <xf numFmtId="0" fontId="80" fillId="0" borderId="4" xfId="6" applyFont="1" applyBorder="1"/>
    <xf numFmtId="0" fontId="85" fillId="0" borderId="0" xfId="6" applyFont="1" applyAlignment="1">
      <alignment horizontal="center"/>
    </xf>
    <xf numFmtId="3" fontId="97" fillId="0" borderId="0" xfId="6" applyNumberFormat="1" applyFont="1"/>
    <xf numFmtId="3" fontId="85" fillId="0" borderId="0" xfId="6" applyNumberFormat="1" applyFont="1"/>
    <xf numFmtId="0" fontId="80" fillId="0" borderId="12" xfId="6" applyFont="1" applyBorder="1"/>
    <xf numFmtId="0" fontId="80" fillId="0" borderId="13" xfId="6" applyFont="1" applyBorder="1" applyAlignment="1">
      <alignment horizontal="center"/>
    </xf>
    <xf numFmtId="0" fontId="85" fillId="29" borderId="48" xfId="6" applyFont="1" applyFill="1" applyBorder="1" applyAlignment="1">
      <alignment vertical="center"/>
    </xf>
    <xf numFmtId="0" fontId="85" fillId="29" borderId="48" xfId="6" applyFont="1" applyFill="1" applyBorder="1" applyAlignment="1">
      <alignment horizontal="center" vertical="center"/>
    </xf>
    <xf numFmtId="0" fontId="85" fillId="29" borderId="6" xfId="6" applyFont="1" applyFill="1" applyBorder="1" applyAlignment="1">
      <alignment horizontal="center" vertical="center" wrapText="1"/>
    </xf>
    <xf numFmtId="0" fontId="85" fillId="29" borderId="5" xfId="6" applyFont="1" applyFill="1" applyBorder="1" applyAlignment="1">
      <alignment horizontal="center" vertical="center" wrapText="1"/>
    </xf>
    <xf numFmtId="0" fontId="85" fillId="29" borderId="6" xfId="6" applyFont="1" applyFill="1" applyBorder="1" applyAlignment="1">
      <alignment horizontal="center" vertical="center"/>
    </xf>
    <xf numFmtId="0" fontId="85" fillId="29" borderId="49" xfId="6" applyFont="1" applyFill="1" applyBorder="1" applyAlignment="1">
      <alignment horizontal="center" vertical="center" wrapText="1"/>
    </xf>
    <xf numFmtId="0" fontId="85" fillId="0" borderId="0" xfId="6" applyFont="1" applyAlignment="1">
      <alignment horizontal="center" vertical="center"/>
    </xf>
    <xf numFmtId="0" fontId="85" fillId="0" borderId="1" xfId="6" applyFont="1" applyBorder="1" applyAlignment="1">
      <alignment horizontal="center" vertical="center"/>
    </xf>
    <xf numFmtId="0" fontId="98" fillId="0" borderId="0" xfId="6" applyFont="1" applyAlignment="1">
      <alignment vertical="center"/>
    </xf>
    <xf numFmtId="0" fontId="99" fillId="28" borderId="11" xfId="6" applyFont="1" applyFill="1" applyBorder="1" applyAlignment="1">
      <alignment vertical="center"/>
    </xf>
    <xf numFmtId="0" fontId="99" fillId="28" borderId="13" xfId="6" applyFont="1" applyFill="1" applyBorder="1" applyAlignment="1">
      <alignment vertical="center"/>
    </xf>
    <xf numFmtId="0" fontId="99" fillId="30" borderId="7" xfId="6" applyFont="1" applyFill="1" applyBorder="1" applyAlignment="1">
      <alignment vertical="center"/>
    </xf>
    <xf numFmtId="0" fontId="99" fillId="0" borderId="0" xfId="6" applyFont="1" applyAlignment="1">
      <alignment vertical="center"/>
    </xf>
    <xf numFmtId="0" fontId="85" fillId="0" borderId="0" xfId="6" applyFont="1" applyAlignment="1">
      <alignment vertical="center"/>
    </xf>
    <xf numFmtId="0" fontId="85" fillId="0" borderId="8" xfId="6" applyFont="1" applyBorder="1" applyAlignment="1">
      <alignment vertical="center"/>
    </xf>
    <xf numFmtId="0" fontId="85" fillId="0" borderId="6" xfId="6" applyFont="1" applyBorder="1" applyAlignment="1">
      <alignment vertical="center"/>
    </xf>
    <xf numFmtId="0" fontId="85" fillId="0" borderId="5" xfId="6" applyFont="1" applyBorder="1"/>
    <xf numFmtId="0" fontId="85" fillId="0" borderId="8" xfId="6" applyFont="1" applyBorder="1"/>
    <xf numFmtId="0" fontId="85" fillId="0" borderId="3" xfId="6" applyFont="1" applyBorder="1" applyAlignment="1">
      <alignment vertical="center"/>
    </xf>
    <xf numFmtId="0" fontId="85" fillId="0" borderId="3" xfId="6" applyFont="1" applyBorder="1" applyAlignment="1">
      <alignment horizontal="center" vertical="center" wrapText="1"/>
    </xf>
    <xf numFmtId="1" fontId="85" fillId="28" borderId="2" xfId="6" applyNumberFormat="1" applyFont="1" applyFill="1" applyBorder="1" applyAlignment="1">
      <alignment vertical="center"/>
    </xf>
    <xf numFmtId="1" fontId="85" fillId="28" borderId="4" xfId="6" applyNumberFormat="1" applyFont="1" applyFill="1" applyBorder="1" applyAlignment="1">
      <alignment vertical="center"/>
    </xf>
    <xf numFmtId="3" fontId="85" fillId="30" borderId="1" xfId="6" applyNumberFormat="1" applyFont="1" applyFill="1" applyBorder="1" applyAlignment="1">
      <alignment horizontal="right" vertical="center"/>
    </xf>
    <xf numFmtId="3" fontId="85" fillId="0" borderId="3" xfId="6" applyNumberFormat="1" applyFont="1" applyBorder="1" applyAlignment="1">
      <alignment horizontal="right" vertical="center"/>
    </xf>
    <xf numFmtId="3" fontId="85" fillId="0" borderId="1" xfId="6" applyNumberFormat="1" applyFont="1" applyBorder="1" applyAlignment="1">
      <alignment horizontal="right" vertical="center"/>
    </xf>
    <xf numFmtId="3" fontId="85" fillId="0" borderId="0" xfId="6" applyNumberFormat="1" applyFont="1" applyAlignment="1">
      <alignment vertical="center"/>
    </xf>
    <xf numFmtId="49" fontId="85" fillId="0" borderId="2" xfId="6" applyNumberFormat="1" applyFont="1" applyBorder="1" applyAlignment="1">
      <alignment horizontal="right" vertical="center"/>
    </xf>
    <xf numFmtId="3" fontId="85" fillId="0" borderId="3" xfId="6" applyNumberFormat="1" applyFont="1" applyBorder="1" applyAlignment="1">
      <alignment vertical="center"/>
    </xf>
    <xf numFmtId="0" fontId="85" fillId="0" borderId="4" xfId="6" applyFont="1" applyBorder="1" applyAlignment="1">
      <alignment vertical="center" wrapText="1"/>
    </xf>
    <xf numFmtId="0" fontId="85" fillId="0" borderId="1" xfId="6" applyFont="1" applyBorder="1" applyAlignment="1">
      <alignment vertical="center" wrapText="1"/>
    </xf>
    <xf numFmtId="3" fontId="85" fillId="30" borderId="4" xfId="6" applyNumberFormat="1" applyFont="1" applyFill="1" applyBorder="1" applyAlignment="1">
      <alignment horizontal="right" vertical="center"/>
    </xf>
    <xf numFmtId="3" fontId="85" fillId="0" borderId="2" xfId="6" applyNumberFormat="1" applyFont="1" applyBorder="1" applyAlignment="1">
      <alignment vertical="center"/>
    </xf>
    <xf numFmtId="1" fontId="85" fillId="0" borderId="3" xfId="6" applyNumberFormat="1" applyFont="1" applyBorder="1" applyAlignment="1">
      <alignment vertical="center"/>
    </xf>
    <xf numFmtId="0" fontId="85" fillId="0" borderId="3" xfId="6" applyFont="1" applyBorder="1" applyAlignment="1">
      <alignment horizontal="left" vertical="center" wrapText="1"/>
    </xf>
    <xf numFmtId="1" fontId="85" fillId="0" borderId="3" xfId="6" applyNumberFormat="1" applyFont="1" applyBorder="1" applyAlignment="1">
      <alignment horizontal="center" vertical="center" wrapText="1"/>
    </xf>
    <xf numFmtId="3" fontId="85" fillId="28" borderId="2" xfId="6" applyNumberFormat="1" applyFont="1" applyFill="1" applyBorder="1" applyAlignment="1">
      <alignment vertical="center"/>
    </xf>
    <xf numFmtId="3" fontId="85" fillId="28" borderId="4" xfId="6" applyNumberFormat="1" applyFont="1" applyFill="1" applyBorder="1" applyAlignment="1">
      <alignment vertical="center"/>
    </xf>
    <xf numFmtId="9" fontId="85" fillId="0" borderId="0" xfId="7" applyFont="1"/>
    <xf numFmtId="3" fontId="85" fillId="0" borderId="4" xfId="6" applyNumberFormat="1" applyFont="1" applyBorder="1" applyAlignment="1">
      <alignment vertical="center" wrapText="1"/>
    </xf>
    <xf numFmtId="9" fontId="85" fillId="0" borderId="3" xfId="6" applyNumberFormat="1" applyFont="1" applyBorder="1" applyAlignment="1">
      <alignment horizontal="center" vertical="center" wrapText="1"/>
    </xf>
    <xf numFmtId="9" fontId="85" fillId="0" borderId="2" xfId="22" applyFont="1" applyBorder="1" applyAlignment="1">
      <alignment vertical="center"/>
    </xf>
    <xf numFmtId="3" fontId="85" fillId="0" borderId="3" xfId="6" applyNumberFormat="1" applyFont="1" applyBorder="1" applyAlignment="1">
      <alignment horizontal="right" vertical="center" wrapText="1"/>
    </xf>
    <xf numFmtId="182" fontId="85" fillId="28" borderId="2" xfId="23" applyNumberFormat="1" applyFont="1" applyFill="1" applyBorder="1" applyAlignment="1">
      <alignment vertical="center"/>
    </xf>
    <xf numFmtId="182" fontId="85" fillId="28" borderId="4" xfId="23" applyNumberFormat="1" applyFont="1" applyFill="1" applyBorder="1" applyAlignment="1">
      <alignment vertical="center"/>
    </xf>
    <xf numFmtId="182" fontId="85" fillId="30" borderId="1" xfId="23" applyNumberFormat="1" applyFont="1" applyFill="1" applyBorder="1" applyAlignment="1">
      <alignment horizontal="right" vertical="center"/>
    </xf>
    <xf numFmtId="182" fontId="85" fillId="0" borderId="3" xfId="23" applyNumberFormat="1" applyFont="1" applyBorder="1" applyAlignment="1">
      <alignment horizontal="right" vertical="center"/>
    </xf>
    <xf numFmtId="182" fontId="85" fillId="0" borderId="3" xfId="23" applyNumberFormat="1" applyFont="1" applyFill="1" applyBorder="1" applyAlignment="1">
      <alignment horizontal="right" vertical="center"/>
    </xf>
    <xf numFmtId="3" fontId="100" fillId="0" borderId="1" xfId="6" applyNumberFormat="1" applyFont="1" applyBorder="1" applyAlignment="1">
      <alignment horizontal="right" vertical="center"/>
    </xf>
    <xf numFmtId="0" fontId="85" fillId="0" borderId="0" xfId="6" applyFont="1" applyAlignment="1">
      <alignment horizontal="left" vertical="center" wrapText="1"/>
    </xf>
    <xf numFmtId="3" fontId="85" fillId="0" borderId="0" xfId="6" applyNumberFormat="1" applyFont="1" applyAlignment="1">
      <alignment horizontal="right" vertical="center" wrapText="1"/>
    </xf>
    <xf numFmtId="0" fontId="85" fillId="0" borderId="0" xfId="6" applyFont="1" applyAlignment="1">
      <alignment horizontal="center" vertical="center" wrapText="1"/>
    </xf>
    <xf numFmtId="43" fontId="85" fillId="28" borderId="6" xfId="23" applyFont="1" applyFill="1" applyBorder="1" applyAlignment="1">
      <alignment vertical="center"/>
    </xf>
    <xf numFmtId="43" fontId="85" fillId="28" borderId="5" xfId="23" applyFont="1" applyFill="1" applyBorder="1" applyAlignment="1">
      <alignment vertical="center"/>
    </xf>
    <xf numFmtId="43" fontId="85" fillId="30" borderId="8" xfId="23" applyFont="1" applyFill="1" applyBorder="1" applyAlignment="1">
      <alignment horizontal="right" vertical="center"/>
    </xf>
    <xf numFmtId="43" fontId="85" fillId="0" borderId="0" xfId="23" applyFont="1" applyBorder="1" applyAlignment="1">
      <alignment horizontal="right" vertical="center"/>
    </xf>
    <xf numFmtId="43" fontId="85" fillId="0" borderId="0" xfId="23" applyFont="1" applyFill="1" applyBorder="1" applyAlignment="1">
      <alignment horizontal="right" vertical="center"/>
    </xf>
    <xf numFmtId="3" fontId="100" fillId="0" borderId="8" xfId="6" applyNumberFormat="1" applyFont="1" applyBorder="1" applyAlignment="1">
      <alignment horizontal="right" vertical="center"/>
    </xf>
    <xf numFmtId="3" fontId="85" fillId="0" borderId="6" xfId="6" applyNumberFormat="1" applyFont="1" applyBorder="1" applyAlignment="1">
      <alignment vertical="center"/>
    </xf>
    <xf numFmtId="0" fontId="85" fillId="0" borderId="5" xfId="6" applyFont="1" applyBorder="1" applyAlignment="1">
      <alignment vertical="center" wrapText="1"/>
    </xf>
    <xf numFmtId="0" fontId="85" fillId="0" borderId="8" xfId="6" applyFont="1" applyBorder="1" applyAlignment="1">
      <alignment vertical="center" wrapText="1"/>
    </xf>
    <xf numFmtId="183" fontId="85" fillId="0" borderId="3" xfId="6" applyNumberFormat="1" applyFont="1" applyBorder="1" applyAlignment="1">
      <alignment horizontal="center" vertical="center" wrapText="1"/>
    </xf>
    <xf numFmtId="184" fontId="85" fillId="30" borderId="2" xfId="7" applyNumberFormat="1" applyFont="1" applyFill="1" applyBorder="1" applyAlignment="1">
      <alignment vertical="center"/>
    </xf>
    <xf numFmtId="184" fontId="85" fillId="30" borderId="4" xfId="7" applyNumberFormat="1" applyFont="1" applyFill="1" applyBorder="1" applyAlignment="1">
      <alignment vertical="center"/>
    </xf>
    <xf numFmtId="184" fontId="85" fillId="30" borderId="1" xfId="7" applyNumberFormat="1" applyFont="1" applyFill="1" applyBorder="1" applyAlignment="1">
      <alignment horizontal="right" vertical="center"/>
    </xf>
    <xf numFmtId="183" fontId="85" fillId="0" borderId="3" xfId="7" applyNumberFormat="1" applyFont="1" applyBorder="1" applyAlignment="1">
      <alignment horizontal="right" vertical="center"/>
    </xf>
    <xf numFmtId="185" fontId="85" fillId="0" borderId="2" xfId="6" applyNumberFormat="1" applyFont="1" applyBorder="1" applyAlignment="1">
      <alignment vertical="center"/>
    </xf>
    <xf numFmtId="0" fontId="101" fillId="0" borderId="0" xfId="24"/>
    <xf numFmtId="3" fontId="101" fillId="0" borderId="0" xfId="24" applyNumberFormat="1"/>
    <xf numFmtId="0" fontId="2" fillId="0" borderId="1" xfId="24" applyFont="1" applyBorder="1"/>
    <xf numFmtId="3" fontId="2" fillId="0" borderId="1" xfId="24" applyNumberFormat="1" applyFont="1" applyBorder="1" applyAlignment="1">
      <alignment horizontal="center"/>
    </xf>
    <xf numFmtId="0" fontId="101" fillId="0" borderId="1" xfId="24" applyBorder="1" applyAlignment="1">
      <alignment horizontal="center"/>
    </xf>
    <xf numFmtId="3" fontId="101" fillId="0" borderId="1" xfId="24" applyNumberFormat="1" applyBorder="1"/>
    <xf numFmtId="0" fontId="101" fillId="0" borderId="1" xfId="24" applyBorder="1"/>
    <xf numFmtId="0" fontId="94" fillId="0" borderId="0" xfId="25"/>
    <xf numFmtId="9" fontId="94" fillId="0" borderId="0" xfId="25" applyNumberFormat="1" applyAlignment="1">
      <alignment horizontal="left"/>
    </xf>
    <xf numFmtId="0" fontId="74" fillId="0" borderId="0" xfId="25" applyFont="1"/>
    <xf numFmtId="0" fontId="94" fillId="0" borderId="1" xfId="25" applyBorder="1"/>
    <xf numFmtId="9" fontId="94" fillId="0" borderId="1" xfId="25" applyNumberFormat="1" applyBorder="1"/>
    <xf numFmtId="1" fontId="94" fillId="0" borderId="0" xfId="25" applyNumberFormat="1"/>
    <xf numFmtId="9" fontId="94" fillId="0" borderId="0" xfId="25" applyNumberFormat="1"/>
    <xf numFmtId="1" fontId="94" fillId="0" borderId="1" xfId="25" applyNumberFormat="1" applyBorder="1"/>
    <xf numFmtId="0" fontId="102" fillId="0" borderId="0" xfId="24" applyFont="1" applyAlignment="1">
      <alignment horizontal="left" vertical="center" indent="1"/>
    </xf>
    <xf numFmtId="0" fontId="101" fillId="0" borderId="0" xfId="24" applyAlignment="1">
      <alignment horizontal="center" vertical="center"/>
    </xf>
    <xf numFmtId="0" fontId="101" fillId="0" borderId="0" xfId="24" applyAlignment="1">
      <alignment vertical="center"/>
    </xf>
    <xf numFmtId="0" fontId="95" fillId="0" borderId="0" xfId="24" applyFont="1" applyAlignment="1">
      <alignment horizontal="left" vertical="center" indent="1"/>
    </xf>
    <xf numFmtId="0" fontId="104" fillId="0" borderId="0" xfId="26" applyAlignment="1">
      <alignment vertical="center"/>
    </xf>
    <xf numFmtId="0" fontId="105" fillId="0" borderId="0" xfId="24" applyFont="1" applyAlignment="1">
      <alignment horizontal="left" vertical="center" indent="1"/>
    </xf>
    <xf numFmtId="0" fontId="106" fillId="31" borderId="1" xfId="24" applyFont="1" applyFill="1" applyBorder="1" applyAlignment="1">
      <alignment horizontal="left" vertical="center" wrapText="1" indent="1"/>
    </xf>
    <xf numFmtId="0" fontId="106" fillId="31" borderId="1" xfId="24" applyFont="1" applyFill="1" applyBorder="1" applyAlignment="1">
      <alignment horizontal="center" vertical="center"/>
    </xf>
    <xf numFmtId="0" fontId="106" fillId="0" borderId="0" xfId="24" applyFont="1" applyAlignment="1">
      <alignment vertical="center"/>
    </xf>
    <xf numFmtId="0" fontId="2" fillId="0" borderId="1" xfId="24" applyFont="1" applyBorder="1" applyAlignment="1">
      <alignment horizontal="left" vertical="center" wrapText="1" indent="1"/>
    </xf>
    <xf numFmtId="168" fontId="101" fillId="0" borderId="1" xfId="24" applyNumberFormat="1" applyBorder="1" applyAlignment="1">
      <alignment horizontal="center" vertical="center"/>
    </xf>
    <xf numFmtId="0" fontId="101" fillId="0" borderId="1" xfId="24" applyBorder="1" applyAlignment="1">
      <alignment horizontal="left" vertical="center" wrapText="1" indent="1"/>
    </xf>
    <xf numFmtId="0" fontId="101" fillId="0" borderId="0" xfId="24" applyAlignment="1">
      <alignment horizontal="left" vertical="center" wrapText="1" indent="1"/>
    </xf>
    <xf numFmtId="9" fontId="101" fillId="0" borderId="0" xfId="24" applyNumberFormat="1" applyAlignment="1">
      <alignment horizontal="center" vertical="center"/>
    </xf>
    <xf numFmtId="168" fontId="101" fillId="0" borderId="0" xfId="24" applyNumberFormat="1" applyAlignment="1">
      <alignment horizontal="center" vertical="center"/>
    </xf>
    <xf numFmtId="186" fontId="101" fillId="0" borderId="0" xfId="24" applyNumberFormat="1" applyAlignment="1">
      <alignment horizontal="center" vertical="center"/>
    </xf>
    <xf numFmtId="0" fontId="75" fillId="0" borderId="0" xfId="24" applyFont="1" applyAlignment="1">
      <alignment horizontal="left" vertical="center" wrapText="1" indent="1"/>
    </xf>
    <xf numFmtId="0" fontId="107" fillId="0" borderId="0" xfId="24" applyFont="1" applyAlignment="1">
      <alignment horizontal="left" vertical="center" wrapText="1" indent="1"/>
    </xf>
    <xf numFmtId="0" fontId="101" fillId="0" borderId="1" xfId="24" applyBorder="1" applyAlignment="1">
      <alignment horizontal="center" vertical="center"/>
    </xf>
    <xf numFmtId="173" fontId="101" fillId="0" borderId="1" xfId="24" applyNumberFormat="1" applyBorder="1" applyAlignment="1">
      <alignment horizontal="center" vertical="center"/>
    </xf>
    <xf numFmtId="173" fontId="101" fillId="0" borderId="1" xfId="24" applyNumberFormat="1" applyBorder="1" applyAlignment="1">
      <alignment vertical="center"/>
    </xf>
    <xf numFmtId="174" fontId="84" fillId="0" borderId="1" xfId="5" applyNumberFormat="1" applyFont="1" applyBorder="1"/>
    <xf numFmtId="4" fontId="84" fillId="0" borderId="1" xfId="5" applyNumberFormat="1" applyFont="1" applyBorder="1"/>
    <xf numFmtId="175" fontId="84" fillId="3" borderId="1" xfId="5" applyNumberFormat="1" applyFont="1" applyFill="1" applyBorder="1"/>
    <xf numFmtId="175" fontId="77" fillId="3" borderId="1" xfId="5" applyNumberFormat="1" applyFont="1" applyFill="1" applyBorder="1"/>
    <xf numFmtId="0" fontId="101" fillId="32" borderId="0" xfId="24" applyFill="1" applyAlignment="1">
      <alignment horizontal="center" vertical="center"/>
    </xf>
    <xf numFmtId="0" fontId="80" fillId="0" borderId="3" xfId="6" applyFont="1" applyBorder="1" applyAlignment="1">
      <alignment horizontal="center"/>
    </xf>
    <xf numFmtId="0" fontId="1" fillId="0" borderId="1" xfId="25" applyFont="1" applyBorder="1"/>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54" fillId="0" borderId="1" xfId="0" applyFont="1" applyBorder="1" applyAlignment="1">
      <alignment horizontal="center" vertical="center"/>
    </xf>
    <xf numFmtId="0" fontId="29"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1" xfId="0" applyFont="1" applyBorder="1" applyAlignment="1">
      <alignment horizontal="center" vertical="center"/>
    </xf>
    <xf numFmtId="172" fontId="0" fillId="0" borderId="1" xfId="0" applyNumberFormat="1" applyBorder="1" applyAlignment="1">
      <alignment horizontal="left" vertical="center" wrapText="1" indent="1"/>
    </xf>
    <xf numFmtId="172" fontId="0" fillId="0" borderId="3" xfId="0" applyNumberFormat="1" applyBorder="1" applyAlignment="1">
      <alignment horizontal="left" vertical="center" wrapText="1" indent="1"/>
    </xf>
    <xf numFmtId="0" fontId="95"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58" fillId="0" borderId="1" xfId="2" applyFill="1" applyBorder="1" applyAlignment="1">
      <alignment horizontal="left" vertical="center" wrapText="1" indent="1"/>
    </xf>
    <xf numFmtId="3" fontId="0" fillId="0" borderId="1" xfId="0" applyNumberFormat="1" applyBorder="1" applyAlignment="1">
      <alignment horizontal="left" vertical="center" wrapText="1" indent="1"/>
    </xf>
    <xf numFmtId="0" fontId="50" fillId="0" borderId="2" xfId="0" applyFont="1" applyBorder="1" applyAlignment="1">
      <alignment horizontal="left" vertical="center" wrapText="1" indent="1"/>
    </xf>
    <xf numFmtId="0" fontId="50" fillId="0" borderId="4" xfId="0" applyFont="1" applyBorder="1" applyAlignment="1">
      <alignment horizontal="left" vertical="center" wrapText="1" indent="1"/>
    </xf>
    <xf numFmtId="0" fontId="10" fillId="10" borderId="1" xfId="0" applyFont="1" applyFill="1" applyBorder="1" applyAlignment="1">
      <alignment horizontal="left" vertical="center" indent="1"/>
    </xf>
    <xf numFmtId="0" fontId="40" fillId="0" borderId="10" xfId="0" applyFont="1" applyBorder="1" applyAlignment="1">
      <alignment horizontal="left" vertical="center" indent="1"/>
    </xf>
    <xf numFmtId="0" fontId="38" fillId="0" borderId="1" xfId="0" applyFont="1" applyBorder="1" applyAlignment="1">
      <alignment horizontal="left" vertical="center" wrapText="1" indent="1"/>
    </xf>
    <xf numFmtId="0" fontId="38" fillId="0" borderId="2" xfId="0" applyFont="1" applyBorder="1" applyAlignment="1">
      <alignment horizontal="left" vertical="center" indent="1"/>
    </xf>
    <xf numFmtId="0" fontId="38" fillId="0" borderId="4" xfId="0" applyFont="1" applyBorder="1" applyAlignment="1">
      <alignment horizontal="left" vertical="center"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3" fillId="0" borderId="2" xfId="0" applyFont="1" applyBorder="1" applyAlignment="1">
      <alignment horizontal="left" vertical="center" wrapText="1" indent="1"/>
    </xf>
    <xf numFmtId="0" fontId="73" fillId="0" borderId="4" xfId="0" applyFont="1" applyBorder="1" applyAlignment="1">
      <alignment horizontal="left" vertical="center" wrapText="1" indent="1"/>
    </xf>
    <xf numFmtId="0" fontId="0" fillId="9" borderId="1" xfId="0" applyFill="1" applyBorder="1" applyAlignment="1">
      <alignment horizontal="center" vertical="center"/>
    </xf>
    <xf numFmtId="0" fontId="13" fillId="10" borderId="2" xfId="0" applyFont="1" applyFill="1" applyBorder="1" applyAlignment="1">
      <alignment horizontal="center" vertical="center"/>
    </xf>
    <xf numFmtId="0" fontId="13" fillId="10" borderId="4" xfId="0" applyFont="1" applyFill="1" applyBorder="1" applyAlignment="1">
      <alignment horizontal="center" vertical="center"/>
    </xf>
    <xf numFmtId="0" fontId="53" fillId="0" borderId="1" xfId="0" applyFont="1" applyBorder="1" applyAlignment="1">
      <alignment horizontal="right" vertical="center" wrapText="1" indent="1"/>
    </xf>
    <xf numFmtId="0" fontId="18" fillId="0" borderId="2" xfId="0" applyFont="1" applyBorder="1" applyAlignment="1" applyProtection="1">
      <alignment horizontal="left" vertical="center" wrapText="1" indent="1"/>
      <protection locked="0"/>
    </xf>
    <xf numFmtId="0" fontId="19" fillId="0" borderId="4" xfId="0" applyFont="1" applyBorder="1" applyAlignment="1" applyProtection="1">
      <alignment horizontal="left" vertical="center" wrapText="1" indent="1"/>
      <protection locked="0"/>
    </xf>
    <xf numFmtId="0" fontId="13" fillId="4" borderId="2" xfId="0" applyFont="1" applyFill="1" applyBorder="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18" fillId="0" borderId="1" xfId="0" applyFont="1" applyBorder="1" applyAlignment="1" applyProtection="1">
      <alignment horizontal="left" vertical="center" wrapText="1" indent="1"/>
      <protection locked="0"/>
    </xf>
    <xf numFmtId="0" fontId="18" fillId="3" borderId="1" xfId="0" applyFont="1" applyFill="1" applyBorder="1" applyAlignment="1" applyProtection="1">
      <alignment horizontal="left" vertical="center" wrapText="1" indent="1"/>
      <protection locked="0"/>
    </xf>
    <xf numFmtId="0" fontId="18" fillId="3" borderId="7" xfId="0" applyFont="1" applyFill="1" applyBorder="1" applyAlignment="1" applyProtection="1">
      <alignment horizontal="left" vertical="center" wrapText="1" indent="1"/>
      <protection locked="0"/>
    </xf>
    <xf numFmtId="0" fontId="18" fillId="3" borderId="8" xfId="0" applyFont="1" applyFill="1" applyBorder="1" applyAlignment="1" applyProtection="1">
      <alignment horizontal="left" vertical="center" wrapText="1" indent="1"/>
      <protection locked="0"/>
    </xf>
    <xf numFmtId="0" fontId="18" fillId="3" borderId="9" xfId="0" applyFont="1" applyFill="1" applyBorder="1" applyAlignment="1" applyProtection="1">
      <alignment horizontal="left" vertical="center" wrapText="1" indent="1"/>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9" fillId="0" borderId="1" xfId="0" applyFont="1" applyBorder="1" applyAlignment="1" applyProtection="1">
      <alignment horizontal="left" vertical="center" indent="2"/>
      <protection locked="0"/>
    </xf>
    <xf numFmtId="0" fontId="19" fillId="0" borderId="1" xfId="0" applyFont="1" applyBorder="1" applyAlignment="1" applyProtection="1">
      <alignment horizontal="left" vertical="center" indent="1"/>
      <protection locked="0"/>
    </xf>
    <xf numFmtId="0" fontId="10" fillId="4" borderId="2" xfId="0" applyFont="1" applyFill="1" applyBorder="1" applyAlignment="1" applyProtection="1">
      <alignment horizontal="left" vertical="center" indent="1"/>
      <protection locked="0"/>
    </xf>
    <xf numFmtId="0" fontId="10" fillId="4" borderId="4" xfId="0" applyFont="1" applyFill="1" applyBorder="1" applyAlignment="1" applyProtection="1">
      <alignment horizontal="left" vertical="center"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27" fillId="0" borderId="1" xfId="0" applyFont="1" applyBorder="1" applyAlignment="1" applyProtection="1">
      <alignment horizontal="left" vertical="center" wrapText="1" indent="1"/>
      <protection locked="0"/>
    </xf>
    <xf numFmtId="0" fontId="10" fillId="6" borderId="2" xfId="0" applyFont="1" applyFill="1" applyBorder="1" applyAlignment="1" applyProtection="1">
      <alignment horizontal="left" vertical="center" indent="1"/>
      <protection locked="0"/>
    </xf>
    <xf numFmtId="0" fontId="10" fillId="6" borderId="4" xfId="0" applyFont="1" applyFill="1" applyBorder="1" applyAlignment="1" applyProtection="1">
      <alignment horizontal="left" vertical="center" indent="1"/>
      <protection locked="0"/>
    </xf>
    <xf numFmtId="0" fontId="27" fillId="0" borderId="2" xfId="0" applyFont="1" applyBorder="1" applyAlignment="1" applyProtection="1">
      <alignment horizontal="left" vertical="center" wrapText="1" indent="1"/>
      <protection locked="0"/>
    </xf>
    <xf numFmtId="0" fontId="23" fillId="0" borderId="4"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23" fillId="0" borderId="1" xfId="0" applyFont="1" applyBorder="1" applyAlignment="1" applyProtection="1">
      <alignment horizontal="left" vertical="center"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27" fillId="0" borderId="9"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3" fillId="0" borderId="1" xfId="0" applyFont="1" applyBorder="1" applyAlignment="1">
      <alignment horizontal="left" vertical="center" wrapText="1" indent="1"/>
    </xf>
    <xf numFmtId="0" fontId="10" fillId="7" borderId="2" xfId="0" applyFont="1" applyFill="1" applyBorder="1" applyAlignment="1">
      <alignment horizontal="left" vertical="center" indent="1"/>
    </xf>
    <xf numFmtId="0" fontId="10" fillId="7" borderId="4" xfId="0" applyFont="1" applyFill="1" applyBorder="1" applyAlignment="1">
      <alignment horizontal="left" vertical="center" indent="1"/>
    </xf>
    <xf numFmtId="0" fontId="33" fillId="0" borderId="2" xfId="0" applyFont="1" applyBorder="1" applyAlignment="1">
      <alignment horizontal="left" vertical="center" wrapText="1" indent="1"/>
    </xf>
    <xf numFmtId="0" fontId="30" fillId="0" borderId="4" xfId="0" applyFont="1" applyBorder="1" applyAlignment="1">
      <alignment horizontal="left" vertical="center" wrapText="1" indent="1"/>
    </xf>
    <xf numFmtId="0" fontId="13" fillId="7" borderId="2" xfId="0" applyFont="1" applyFill="1" applyBorder="1" applyAlignment="1">
      <alignment horizontal="center" vertical="center" shrinkToFit="1"/>
    </xf>
    <xf numFmtId="0" fontId="13" fillId="7" borderId="4" xfId="0" applyFont="1" applyFill="1" applyBorder="1" applyAlignment="1">
      <alignment horizontal="center" vertical="center" shrinkToFit="1"/>
    </xf>
    <xf numFmtId="0" fontId="30" fillId="0" borderId="1" xfId="0" applyFont="1" applyBorder="1" applyAlignment="1">
      <alignment horizontal="left" vertical="center" indent="1"/>
    </xf>
    <xf numFmtId="0" fontId="33" fillId="0" borderId="7" xfId="0" applyFont="1" applyBorder="1" applyAlignment="1">
      <alignment horizontal="left" vertical="center" wrapText="1" indent="1"/>
    </xf>
    <xf numFmtId="0" fontId="33" fillId="0" borderId="8" xfId="0" applyFont="1" applyBorder="1" applyAlignment="1">
      <alignment horizontal="left" vertical="center" wrapText="1" indent="1"/>
    </xf>
    <xf numFmtId="0" fontId="33" fillId="0" borderId="9" xfId="0" applyFont="1" applyBorder="1" applyAlignment="1">
      <alignment horizontal="left" vertical="center" wrapText="1" indent="1"/>
    </xf>
    <xf numFmtId="0" fontId="13"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14" fillId="22" borderId="2" xfId="0" applyNumberFormat="1" applyFont="1" applyFill="1" applyBorder="1" applyAlignment="1">
      <alignment horizontal="center" vertical="center"/>
    </xf>
    <xf numFmtId="167" fontId="14" fillId="22" borderId="3" xfId="0" applyNumberFormat="1" applyFont="1" applyFill="1" applyBorder="1" applyAlignment="1">
      <alignment horizontal="center" vertical="center"/>
    </xf>
    <xf numFmtId="167" fontId="14" fillId="22" borderId="4" xfId="0" applyNumberFormat="1" applyFont="1" applyFill="1" applyBorder="1" applyAlignment="1">
      <alignment horizontal="center" vertical="center"/>
    </xf>
    <xf numFmtId="0" fontId="70" fillId="22" borderId="2" xfId="0" applyFont="1" applyFill="1" applyBorder="1" applyAlignment="1">
      <alignment horizontal="center" vertical="center"/>
    </xf>
    <xf numFmtId="0" fontId="70" fillId="22" borderId="3" xfId="0" applyFont="1" applyFill="1" applyBorder="1" applyAlignment="1">
      <alignment horizontal="center" vertical="center"/>
    </xf>
    <xf numFmtId="0" fontId="70"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80" fillId="28" borderId="11" xfId="6" applyFont="1" applyFill="1" applyBorder="1" applyAlignment="1">
      <alignment horizontal="center"/>
    </xf>
    <xf numFmtId="0" fontId="80" fillId="28" borderId="12" xfId="6" applyFont="1" applyFill="1" applyBorder="1" applyAlignment="1">
      <alignment horizontal="center"/>
    </xf>
    <xf numFmtId="0" fontId="80" fillId="28" borderId="13" xfId="6" applyFont="1" applyFill="1" applyBorder="1" applyAlignment="1">
      <alignment horizontal="center"/>
    </xf>
    <xf numFmtId="0" fontId="80" fillId="0" borderId="3" xfId="6" applyFont="1" applyBorder="1" applyAlignment="1">
      <alignment horizontal="center"/>
    </xf>
    <xf numFmtId="0" fontId="85" fillId="28" borderId="14" xfId="6" applyFont="1" applyFill="1" applyBorder="1" applyAlignment="1">
      <alignment horizontal="center"/>
    </xf>
    <xf numFmtId="0" fontId="85" fillId="28" borderId="10" xfId="6" applyFont="1" applyFill="1" applyBorder="1" applyAlignment="1">
      <alignment horizontal="center"/>
    </xf>
    <xf numFmtId="0" fontId="85" fillId="28" borderId="15" xfId="6" applyFont="1" applyFill="1" applyBorder="1" applyAlignment="1">
      <alignment horizontal="center"/>
    </xf>
    <xf numFmtId="0" fontId="85" fillId="0" borderId="1" xfId="6" applyFont="1" applyBorder="1" applyAlignment="1">
      <alignment horizontal="center" vertical="center"/>
    </xf>
    <xf numFmtId="0" fontId="78" fillId="0" borderId="0" xfId="5" applyFont="1" applyAlignment="1">
      <alignment horizontal="center"/>
    </xf>
    <xf numFmtId="0" fontId="82" fillId="26" borderId="46" xfId="5" applyFont="1" applyFill="1" applyBorder="1" applyAlignment="1">
      <alignment horizontal="center"/>
    </xf>
    <xf numFmtId="0" fontId="82" fillId="26" borderId="21" xfId="5" applyFont="1" applyFill="1" applyBorder="1" applyAlignment="1">
      <alignment horizontal="center"/>
    </xf>
    <xf numFmtId="0" fontId="82" fillId="3" borderId="25" xfId="6" applyFont="1" applyFill="1" applyBorder="1" applyAlignment="1">
      <alignment horizontal="left" wrapText="1" indent="2"/>
    </xf>
    <xf numFmtId="0" fontId="82" fillId="3" borderId="26" xfId="6" applyFont="1" applyFill="1" applyBorder="1" applyAlignment="1">
      <alignment horizontal="left" wrapText="1" indent="2"/>
    </xf>
    <xf numFmtId="0" fontId="82" fillId="3" borderId="29" xfId="6" applyFont="1" applyFill="1" applyBorder="1" applyAlignment="1">
      <alignment horizontal="left" wrapText="1" indent="2"/>
    </xf>
    <xf numFmtId="0" fontId="82" fillId="3" borderId="4" xfId="6" applyFont="1" applyFill="1" applyBorder="1" applyAlignment="1">
      <alignment horizontal="left" wrapText="1" indent="2"/>
    </xf>
    <xf numFmtId="0" fontId="82" fillId="3" borderId="32" xfId="6" applyFont="1" applyFill="1" applyBorder="1" applyAlignment="1">
      <alignment horizontal="left" wrapText="1" indent="2"/>
    </xf>
    <xf numFmtId="0" fontId="82" fillId="3" borderId="33" xfId="6" applyFont="1" applyFill="1" applyBorder="1" applyAlignment="1">
      <alignment horizontal="left" wrapText="1" indent="2"/>
    </xf>
    <xf numFmtId="0" fontId="78" fillId="0" borderId="24" xfId="5" applyFont="1" applyBorder="1" applyAlignment="1">
      <alignment horizontal="center"/>
    </xf>
    <xf numFmtId="0" fontId="78" fillId="0" borderId="21" xfId="5" applyFont="1" applyBorder="1" applyAlignment="1">
      <alignment horizontal="center"/>
    </xf>
    <xf numFmtId="0" fontId="80" fillId="0" borderId="1" xfId="6" applyFont="1" applyBorder="1" applyAlignment="1">
      <alignment horizontal="center"/>
    </xf>
    <xf numFmtId="0" fontId="84" fillId="26" borderId="2" xfId="5" applyFont="1" applyFill="1" applyBorder="1" applyAlignment="1">
      <alignment horizontal="center" wrapText="1"/>
    </xf>
    <xf numFmtId="0" fontId="84" fillId="26" borderId="4" xfId="5" applyFont="1" applyFill="1" applyBorder="1" applyAlignment="1">
      <alignment horizontal="center" wrapText="1"/>
    </xf>
    <xf numFmtId="0" fontId="82" fillId="26" borderId="18" xfId="5" applyFont="1" applyFill="1" applyBorder="1" applyAlignment="1">
      <alignment horizontal="center" vertical="top"/>
    </xf>
    <xf numFmtId="0" fontId="82" fillId="26" borderId="19" xfId="5" applyFont="1" applyFill="1" applyBorder="1" applyAlignment="1">
      <alignment horizontal="center" vertical="top"/>
    </xf>
    <xf numFmtId="0" fontId="82" fillId="26" borderId="22" xfId="5" applyFont="1" applyFill="1" applyBorder="1" applyAlignment="1">
      <alignment horizontal="center" vertical="top"/>
    </xf>
    <xf numFmtId="0" fontId="82" fillId="26" borderId="23" xfId="5" applyFont="1" applyFill="1" applyBorder="1" applyAlignment="1">
      <alignment horizontal="center" vertical="top"/>
    </xf>
    <xf numFmtId="0" fontId="82" fillId="26" borderId="20" xfId="6" applyFont="1" applyFill="1" applyBorder="1" applyAlignment="1">
      <alignment horizontal="center" vertical="top" wrapText="1"/>
    </xf>
    <xf numFmtId="0" fontId="82" fillId="26" borderId="21" xfId="6" applyFont="1" applyFill="1" applyBorder="1" applyAlignment="1">
      <alignment horizontal="center" vertical="top" wrapText="1"/>
    </xf>
    <xf numFmtId="0" fontId="82" fillId="27" borderId="0" xfId="6" applyFont="1" applyFill="1" applyAlignment="1">
      <alignment horizontal="center"/>
    </xf>
    <xf numFmtId="0" fontId="0" fillId="0" borderId="0" xfId="0" applyAlignment="1">
      <alignment horizontal="left" vertical="center" wrapText="1" indent="1"/>
    </xf>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77" fillId="0" borderId="1" xfId="0" applyFont="1" applyBorder="1" applyAlignment="1">
      <alignment horizontal="center" wrapText="1"/>
    </xf>
    <xf numFmtId="0" fontId="77" fillId="0" borderId="1" xfId="12" applyFont="1" applyBorder="1" applyAlignment="1">
      <alignment horizontal="left"/>
    </xf>
    <xf numFmtId="0" fontId="93" fillId="0" borderId="1" xfId="12" applyFont="1" applyBorder="1" applyAlignment="1">
      <alignment horizontal="center"/>
    </xf>
    <xf numFmtId="0" fontId="77" fillId="0" borderId="1" xfId="0" applyFont="1" applyBorder="1" applyAlignment="1">
      <alignment horizontal="center"/>
    </xf>
    <xf numFmtId="0" fontId="77" fillId="3" borderId="1" xfId="0" applyFont="1" applyFill="1" applyBorder="1" applyAlignment="1">
      <alignment horizontal="center" vertical="center"/>
    </xf>
    <xf numFmtId="0" fontId="84" fillId="0" borderId="1" xfId="0" applyFont="1" applyBorder="1" applyAlignment="1">
      <alignment horizontal="center" wrapText="1"/>
    </xf>
    <xf numFmtId="0" fontId="82" fillId="0" borderId="2"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1" xfId="0" applyFont="1" applyBorder="1" applyAlignment="1">
      <alignment horizontal="left" vertical="center" wrapText="1"/>
    </xf>
    <xf numFmtId="1" fontId="82" fillId="0" borderId="2" xfId="0" applyNumberFormat="1" applyFont="1" applyBorder="1" applyAlignment="1">
      <alignment horizontal="center" vertical="center" wrapText="1"/>
    </xf>
    <xf numFmtId="1" fontId="82" fillId="0" borderId="4" xfId="0" applyNumberFormat="1" applyFont="1" applyBorder="1" applyAlignment="1">
      <alignment horizontal="center" vertical="center" wrapText="1"/>
    </xf>
    <xf numFmtId="3" fontId="82" fillId="0" borderId="2" xfId="0" applyNumberFormat="1" applyFont="1" applyBorder="1" applyAlignment="1">
      <alignment horizontal="center" vertical="center" wrapText="1"/>
    </xf>
    <xf numFmtId="3" fontId="82" fillId="0" borderId="4" xfId="0" applyNumberFormat="1" applyFont="1" applyBorder="1" applyAlignment="1">
      <alignment horizontal="center" vertical="center" wrapText="1"/>
    </xf>
    <xf numFmtId="0" fontId="82" fillId="0" borderId="1" xfId="0" applyFont="1" applyBorder="1" applyAlignment="1">
      <alignment horizontal="left" vertical="center" wrapText="1" indent="2"/>
    </xf>
    <xf numFmtId="2" fontId="82" fillId="0" borderId="2" xfId="0" applyNumberFormat="1" applyFont="1" applyBorder="1" applyAlignment="1">
      <alignment horizontal="center" vertical="center" wrapText="1"/>
    </xf>
    <xf numFmtId="2" fontId="82" fillId="0" borderId="4" xfId="0" applyNumberFormat="1" applyFont="1" applyBorder="1" applyAlignment="1">
      <alignment horizontal="center" vertical="center" wrapText="1"/>
    </xf>
    <xf numFmtId="0" fontId="89" fillId="0" borderId="47" xfId="0" applyFont="1" applyBorder="1" applyAlignment="1">
      <alignment horizontal="center" vertical="center" wrapText="1"/>
    </xf>
    <xf numFmtId="0" fontId="89" fillId="0" borderId="0" xfId="0" applyFont="1" applyAlignment="1">
      <alignment horizontal="center" vertical="center" wrapText="1"/>
    </xf>
    <xf numFmtId="0" fontId="89" fillId="0" borderId="1" xfId="0" applyFont="1" applyBorder="1" applyAlignment="1">
      <alignment horizontal="left" vertical="center" wrapText="1"/>
    </xf>
    <xf numFmtId="9" fontId="89" fillId="0" borderId="1" xfId="1" applyFont="1" applyBorder="1" applyAlignment="1">
      <alignment horizontal="center" vertical="center" wrapText="1"/>
    </xf>
    <xf numFmtId="3" fontId="89" fillId="0" borderId="1" xfId="0" applyNumberFormat="1" applyFont="1" applyBorder="1" applyAlignment="1">
      <alignment horizontal="center" vertical="center" wrapText="1"/>
    </xf>
    <xf numFmtId="0" fontId="108" fillId="0" borderId="0" xfId="0" applyFont="1" applyAlignment="1" applyProtection="1">
      <alignment horizontal="center" vertical="center" shrinkToFit="1"/>
      <protection locked="0"/>
    </xf>
  </cellXfs>
  <cellStyles count="27">
    <cellStyle name="Hüperlink" xfId="2" builtinId="8"/>
    <cellStyle name="Normaallaad" xfId="0" builtinId="0"/>
    <cellStyle name="Protsent" xfId="1" builtinId="5"/>
    <cellStyle name="Гиперссылка 2" xfId="26" xr:uid="{8448A210-E9D7-4745-BD9A-2B743CE2DF2C}"/>
    <cellStyle name="Обычный 2" xfId="3" xr:uid="{00000000-0005-0000-0000-000003000000}"/>
    <cellStyle name="Обычный 2 2" xfId="6" xr:uid="{00000000-0005-0000-0000-000004000000}"/>
    <cellStyle name="Обычный 2 3" xfId="13" xr:uid="{00000000-0005-0000-0000-000005000000}"/>
    <cellStyle name="Обычный 2 4" xfId="21" xr:uid="{00000000-0005-0000-0000-000006000000}"/>
    <cellStyle name="Обычный 3" xfId="8" xr:uid="{00000000-0005-0000-0000-000007000000}"/>
    <cellStyle name="Обычный 3 2" xfId="16" xr:uid="{00000000-0005-0000-0000-000008000000}"/>
    <cellStyle name="Обычный 4" xfId="10" xr:uid="{00000000-0005-0000-0000-000009000000}"/>
    <cellStyle name="Обычный 4 2" xfId="18" xr:uid="{00000000-0005-0000-0000-00000A000000}"/>
    <cellStyle name="Обычный 4 3" xfId="25" xr:uid="{3EA4993D-4AF5-4A9A-A2F0-4BD932D97F41}"/>
    <cellStyle name="Обычный 5" xfId="24" xr:uid="{744342C0-F02B-4355-B93A-CA56D3AF231D}"/>
    <cellStyle name="Обычный 6 2" xfId="5" xr:uid="{00000000-0005-0000-0000-00000B000000}"/>
    <cellStyle name="Обычный 6 2 2" xfId="11" xr:uid="{00000000-0005-0000-0000-00000C000000}"/>
    <cellStyle name="Обычный 6 2 2 2" xfId="19" xr:uid="{00000000-0005-0000-0000-00000D000000}"/>
    <cellStyle name="Обычный 6 2 3" xfId="15" xr:uid="{00000000-0005-0000-0000-00000E000000}"/>
    <cellStyle name="Обычный 7" xfId="12" xr:uid="{00000000-0005-0000-0000-00000F000000}"/>
    <cellStyle name="Обычный 7 2" xfId="20" xr:uid="{00000000-0005-0000-0000-000010000000}"/>
    <cellStyle name="Процентный 2" xfId="4" xr:uid="{00000000-0005-0000-0000-000011000000}"/>
    <cellStyle name="Процентный 2 2" xfId="7" xr:uid="{00000000-0005-0000-0000-000012000000}"/>
    <cellStyle name="Процентный 2 3" xfId="14" xr:uid="{00000000-0005-0000-0000-000013000000}"/>
    <cellStyle name="Процентный 3" xfId="9" xr:uid="{00000000-0005-0000-0000-000014000000}"/>
    <cellStyle name="Процентный 3 2" xfId="17" xr:uid="{00000000-0005-0000-0000-000015000000}"/>
    <cellStyle name="Процентный 3 3" xfId="22" xr:uid="{4FD521DE-AC3B-475C-86A5-7FAD1210A5BE}"/>
    <cellStyle name="Финансовый 2" xfId="23" xr:uid="{C3384AE7-8FBC-438D-819C-27C7C74583FC}"/>
  </cellStyles>
  <dxfs count="1">
    <dxf>
      <font>
        <color theme="0"/>
      </font>
    </dxf>
  </dxfs>
  <tableStyles count="0" defaultTableStyle="TableStyleMedium2" defaultPivotStyle="PivotStyleLight16"/>
  <colors>
    <mruColors>
      <color rgb="FFA0F692"/>
      <color rgb="FF0000FF"/>
      <color rgb="FFA6C0F4"/>
      <color rgb="FF000099"/>
      <color rgb="FF008000"/>
      <color rgb="FFCC6600"/>
      <color rgb="FFFFFF66"/>
      <color rgb="FFFFFF99"/>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E404-4817-BFDA-65B8ED5AD865}"/>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E404-4817-BFDA-65B8ED5AD865}"/>
            </c:ext>
          </c:extLst>
        </c:ser>
        <c:dLbls>
          <c:showLegendKey val="0"/>
          <c:showVal val="0"/>
          <c:showCatName val="0"/>
          <c:showSerName val="0"/>
          <c:showPercent val="0"/>
          <c:showBubbleSize val="0"/>
        </c:dLbls>
        <c:gapWidth val="150"/>
        <c:overlap val="50"/>
        <c:axId val="354362376"/>
        <c:axId val="354362768"/>
      </c:barChart>
      <c:catAx>
        <c:axId val="354362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62768"/>
        <c:crosses val="autoZero"/>
        <c:auto val="1"/>
        <c:lblAlgn val="ctr"/>
        <c:lblOffset val="100"/>
        <c:tickLblSkip val="1"/>
        <c:tickMarkSkip val="1"/>
        <c:noMultiLvlLbl val="0"/>
      </c:catAx>
      <c:valAx>
        <c:axId val="3543627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623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798B-48F8-901A-7973618F7045}"/>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798B-48F8-901A-7973618F7045}"/>
            </c:ext>
          </c:extLst>
        </c:ser>
        <c:dLbls>
          <c:showLegendKey val="0"/>
          <c:showVal val="0"/>
          <c:showCatName val="0"/>
          <c:showSerName val="0"/>
          <c:showPercent val="0"/>
          <c:showBubbleSize val="0"/>
        </c:dLbls>
        <c:gapWidth val="150"/>
        <c:overlap val="50"/>
        <c:axId val="356552792"/>
        <c:axId val="356553968"/>
      </c:barChart>
      <c:catAx>
        <c:axId val="356552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3968"/>
        <c:crosses val="autoZero"/>
        <c:auto val="1"/>
        <c:lblAlgn val="ctr"/>
        <c:lblOffset val="100"/>
        <c:tickLblSkip val="1"/>
        <c:tickMarkSkip val="1"/>
        <c:noMultiLvlLbl val="0"/>
      </c:catAx>
      <c:valAx>
        <c:axId val="356553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279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2ED1-4CFB-A5AE-8D333D84CFC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2ED1-4CFB-A5AE-8D333D84CFCB}"/>
            </c:ext>
          </c:extLst>
        </c:ser>
        <c:dLbls>
          <c:showLegendKey val="0"/>
          <c:showVal val="0"/>
          <c:showCatName val="0"/>
          <c:showSerName val="0"/>
          <c:showPercent val="0"/>
          <c:showBubbleSize val="0"/>
        </c:dLbls>
        <c:marker val="1"/>
        <c:smooth val="0"/>
        <c:axId val="356554360"/>
        <c:axId val="356548872"/>
      </c:lineChart>
      <c:catAx>
        <c:axId val="356554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48872"/>
        <c:crosses val="autoZero"/>
        <c:auto val="1"/>
        <c:lblAlgn val="ctr"/>
        <c:lblOffset val="100"/>
        <c:tickLblSkip val="1"/>
        <c:tickMarkSkip val="1"/>
        <c:noMultiLvlLbl val="0"/>
      </c:catAx>
      <c:valAx>
        <c:axId val="356548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436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39A0-4A1F-83A6-7B7F715396A9}"/>
            </c:ext>
          </c:extLst>
        </c:ser>
        <c:dLbls>
          <c:showLegendKey val="0"/>
          <c:showVal val="0"/>
          <c:showCatName val="0"/>
          <c:showSerName val="0"/>
          <c:showPercent val="0"/>
          <c:showBubbleSize val="0"/>
        </c:dLbls>
        <c:gapWidth val="150"/>
        <c:axId val="354359632"/>
        <c:axId val="354360808"/>
      </c:barChart>
      <c:catAx>
        <c:axId val="35435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354360808"/>
        <c:crosses val="autoZero"/>
        <c:auto val="1"/>
        <c:lblAlgn val="ctr"/>
        <c:lblOffset val="100"/>
        <c:tickLblSkip val="1"/>
        <c:tickMarkSkip val="1"/>
        <c:noMultiLvlLbl val="0"/>
      </c:catAx>
      <c:valAx>
        <c:axId val="354360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35435963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CDD9-4F3A-8177-F5C6D5E332F7}"/>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CDD9-4F3A-8177-F5C6D5E332F7}"/>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CDD9-4F3A-8177-F5C6D5E332F7}"/>
            </c:ext>
          </c:extLst>
        </c:ser>
        <c:dLbls>
          <c:showLegendKey val="0"/>
          <c:showVal val="0"/>
          <c:showCatName val="0"/>
          <c:showSerName val="0"/>
          <c:showPercent val="0"/>
          <c:showBubbleSize val="0"/>
        </c:dLbls>
        <c:marker val="1"/>
        <c:smooth val="0"/>
        <c:axId val="354360416"/>
        <c:axId val="356991728"/>
      </c:lineChart>
      <c:catAx>
        <c:axId val="354360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991728"/>
        <c:crosses val="autoZero"/>
        <c:auto val="1"/>
        <c:lblAlgn val="ctr"/>
        <c:lblOffset val="100"/>
        <c:tickLblSkip val="1"/>
        <c:tickMarkSkip val="1"/>
        <c:noMultiLvlLbl val="0"/>
      </c:catAx>
      <c:valAx>
        <c:axId val="356991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6041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BEA0-44B0-B71F-770696E9234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BEA0-44B0-B71F-770696E9234A}"/>
            </c:ext>
          </c:extLst>
        </c:ser>
        <c:dLbls>
          <c:showLegendKey val="0"/>
          <c:showVal val="0"/>
          <c:showCatName val="0"/>
          <c:showSerName val="0"/>
          <c:showPercent val="0"/>
          <c:showBubbleSize val="0"/>
        </c:dLbls>
        <c:gapWidth val="150"/>
        <c:overlap val="50"/>
        <c:axId val="356986240"/>
        <c:axId val="356986632"/>
      </c:barChart>
      <c:catAx>
        <c:axId val="356986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986632"/>
        <c:crosses val="autoZero"/>
        <c:auto val="1"/>
        <c:lblAlgn val="ctr"/>
        <c:lblOffset val="100"/>
        <c:tickLblSkip val="1"/>
        <c:tickMarkSkip val="1"/>
        <c:noMultiLvlLbl val="0"/>
      </c:catAx>
      <c:valAx>
        <c:axId val="356986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98624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F186-4122-B003-5BAD6182EE89}"/>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F186-4122-B003-5BAD6182EE89}"/>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F186-4122-B003-5BAD6182EE89}"/>
            </c:ext>
          </c:extLst>
        </c:ser>
        <c:dLbls>
          <c:showLegendKey val="0"/>
          <c:showVal val="0"/>
          <c:showCatName val="0"/>
          <c:showSerName val="0"/>
          <c:showPercent val="0"/>
          <c:showBubbleSize val="0"/>
        </c:dLbls>
        <c:marker val="1"/>
        <c:smooth val="0"/>
        <c:axId val="354356496"/>
        <c:axId val="354357280"/>
      </c:lineChart>
      <c:catAx>
        <c:axId val="354356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57280"/>
        <c:crosses val="autoZero"/>
        <c:auto val="1"/>
        <c:lblAlgn val="ctr"/>
        <c:lblOffset val="100"/>
        <c:tickLblSkip val="1"/>
        <c:tickMarkSkip val="1"/>
        <c:noMultiLvlLbl val="0"/>
      </c:catAx>
      <c:valAx>
        <c:axId val="3543572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5649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94A1-41F1-B923-43A4C104DE6C}"/>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94A1-41F1-B923-43A4C104DE6C}"/>
            </c:ext>
          </c:extLst>
        </c:ser>
        <c:dLbls>
          <c:showLegendKey val="0"/>
          <c:showVal val="0"/>
          <c:showCatName val="0"/>
          <c:showSerName val="0"/>
          <c:showPercent val="0"/>
          <c:showBubbleSize val="0"/>
        </c:dLbls>
        <c:gapWidth val="150"/>
        <c:overlap val="50"/>
        <c:axId val="354356104"/>
        <c:axId val="354358064"/>
      </c:barChart>
      <c:catAx>
        <c:axId val="354356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58064"/>
        <c:crosses val="autoZero"/>
        <c:auto val="1"/>
        <c:lblAlgn val="ctr"/>
        <c:lblOffset val="100"/>
        <c:tickLblSkip val="1"/>
        <c:tickMarkSkip val="1"/>
        <c:noMultiLvlLbl val="0"/>
      </c:catAx>
      <c:valAx>
        <c:axId val="3543580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5610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CCA6-4CC3-A7A7-2E926E170D5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CCA6-4CC3-A7A7-2E926E170D50}"/>
            </c:ext>
          </c:extLst>
        </c:ser>
        <c:dLbls>
          <c:showLegendKey val="0"/>
          <c:showVal val="0"/>
          <c:showCatName val="0"/>
          <c:showSerName val="0"/>
          <c:showPercent val="0"/>
          <c:showBubbleSize val="0"/>
        </c:dLbls>
        <c:marker val="1"/>
        <c:smooth val="0"/>
        <c:axId val="354358456"/>
        <c:axId val="354357672"/>
      </c:lineChart>
      <c:catAx>
        <c:axId val="354358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57672"/>
        <c:crosses val="autoZero"/>
        <c:auto val="1"/>
        <c:lblAlgn val="ctr"/>
        <c:lblOffset val="100"/>
        <c:tickLblSkip val="1"/>
        <c:tickMarkSkip val="1"/>
        <c:noMultiLvlLbl val="0"/>
      </c:catAx>
      <c:valAx>
        <c:axId val="354357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43584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0A11-4344-9C1A-6D4AE4334E17}"/>
            </c:ext>
          </c:extLst>
        </c:ser>
        <c:dLbls>
          <c:showLegendKey val="0"/>
          <c:showVal val="0"/>
          <c:showCatName val="0"/>
          <c:showSerName val="0"/>
          <c:showPercent val="0"/>
          <c:showBubbleSize val="0"/>
        </c:dLbls>
        <c:gapWidth val="150"/>
        <c:axId val="356552400"/>
        <c:axId val="356553576"/>
      </c:barChart>
      <c:catAx>
        <c:axId val="356552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356553576"/>
        <c:crosses val="autoZero"/>
        <c:auto val="1"/>
        <c:lblAlgn val="ctr"/>
        <c:lblOffset val="100"/>
        <c:tickLblSkip val="1"/>
        <c:tickMarkSkip val="1"/>
        <c:noMultiLvlLbl val="0"/>
      </c:catAx>
      <c:valAx>
        <c:axId val="3565535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3565524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7FB-4A3E-AE97-749D473EFC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7FB-4A3E-AE97-749D473EFC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7FB-4A3E-AE97-749D473EFCB5}"/>
            </c:ext>
          </c:extLst>
        </c:ser>
        <c:dLbls>
          <c:showLegendKey val="0"/>
          <c:showVal val="0"/>
          <c:showCatName val="0"/>
          <c:showSerName val="0"/>
          <c:showPercent val="0"/>
          <c:showBubbleSize val="0"/>
        </c:dLbls>
        <c:marker val="1"/>
        <c:smooth val="0"/>
        <c:axId val="356549656"/>
        <c:axId val="356550048"/>
      </c:lineChart>
      <c:catAx>
        <c:axId val="3565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0048"/>
        <c:crosses val="autoZero"/>
        <c:auto val="1"/>
        <c:lblAlgn val="ctr"/>
        <c:lblOffset val="100"/>
        <c:tickLblSkip val="1"/>
        <c:tickMarkSkip val="1"/>
        <c:noMultiLvlLbl val="0"/>
      </c:catAx>
      <c:valAx>
        <c:axId val="3565500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496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6BC0-4028-A7B6-1857255B293B}"/>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6BC0-4028-A7B6-1857255B293B}"/>
            </c:ext>
          </c:extLst>
        </c:ser>
        <c:dLbls>
          <c:showLegendKey val="0"/>
          <c:showVal val="0"/>
          <c:showCatName val="0"/>
          <c:showSerName val="0"/>
          <c:showPercent val="0"/>
          <c:showBubbleSize val="0"/>
        </c:dLbls>
        <c:gapWidth val="150"/>
        <c:overlap val="50"/>
        <c:axId val="356551224"/>
        <c:axId val="356555928"/>
      </c:barChart>
      <c:catAx>
        <c:axId val="356551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5928"/>
        <c:crosses val="autoZero"/>
        <c:auto val="1"/>
        <c:lblAlgn val="ctr"/>
        <c:lblOffset val="100"/>
        <c:tickLblSkip val="1"/>
        <c:tickMarkSkip val="1"/>
        <c:noMultiLvlLbl val="0"/>
      </c:catAx>
      <c:valAx>
        <c:axId val="356555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122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DB0E-48F5-80EB-3D47AEEAF78B}"/>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DB0E-48F5-80EB-3D47AEEAF78B}"/>
            </c:ext>
          </c:extLst>
        </c:ser>
        <c:dLbls>
          <c:showLegendKey val="0"/>
          <c:showVal val="0"/>
          <c:showCatName val="0"/>
          <c:showSerName val="0"/>
          <c:showPercent val="0"/>
          <c:showBubbleSize val="0"/>
        </c:dLbls>
        <c:gapWidth val="150"/>
        <c:overlap val="50"/>
        <c:axId val="356556320"/>
        <c:axId val="356555144"/>
      </c:barChart>
      <c:catAx>
        <c:axId val="35655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5144"/>
        <c:crosses val="autoZero"/>
        <c:auto val="1"/>
        <c:lblAlgn val="ctr"/>
        <c:lblOffset val="100"/>
        <c:tickLblSkip val="1"/>
        <c:tickMarkSkip val="1"/>
        <c:noMultiLvlLbl val="0"/>
      </c:catAx>
      <c:valAx>
        <c:axId val="3565551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632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1883-4D94-98F1-F2AD502D2DE6}"/>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1883-4D94-98F1-F2AD502D2DE6}"/>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1883-4D94-98F1-F2AD502D2DE6}"/>
            </c:ext>
          </c:extLst>
        </c:ser>
        <c:dLbls>
          <c:showLegendKey val="0"/>
          <c:showVal val="0"/>
          <c:showCatName val="0"/>
          <c:showSerName val="0"/>
          <c:showPercent val="0"/>
          <c:showBubbleSize val="0"/>
        </c:dLbls>
        <c:marker val="1"/>
        <c:smooth val="0"/>
        <c:axId val="356550832"/>
        <c:axId val="356551616"/>
      </c:lineChart>
      <c:catAx>
        <c:axId val="35655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1616"/>
        <c:crosses val="autoZero"/>
        <c:auto val="1"/>
        <c:lblAlgn val="ctr"/>
        <c:lblOffset val="100"/>
        <c:tickLblSkip val="1"/>
        <c:tickMarkSkip val="1"/>
        <c:noMultiLvlLbl val="0"/>
      </c:catAx>
      <c:valAx>
        <c:axId val="356551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5655083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id="{B73798A5-954C-493F-B9CB-37490FD1E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id="{AB187453-0F56-4128-A772-C7B062A33F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id="{284C1D25-D255-4D92-90F2-C48090CB5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id="{1F8E260B-D5FF-4BA0-AF2F-E9DEFD8C8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id="{D6AACB20-3FA2-46A5-82A4-CE17B8240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id="{06C324E6-7929-4121-9E94-4787D27D9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id="{1E05FAE0-6E9F-43B9-B2F3-556455AF6F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id="{2E7EA5A0-8ADF-4329-92C2-92A7FF52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id="{864BF7A8-798B-4272-B337-DB8B57A4E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id="{986FD1AC-68A7-44A6-B364-200531CF8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id="{51A37587-2CC6-4EB3-8847-2C3A4223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id="{3F45E69C-BF2D-45C0-9919-297B1E808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id="{A9179D41-59C5-4412-9FB7-E2F3E1188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id="{26EDF3C9-92EF-449B-822C-EDC3156A2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11</xdr:row>
      <xdr:rowOff>125731</xdr:rowOff>
    </xdr:from>
    <xdr:to>
      <xdr:col>0</xdr:col>
      <xdr:colOff>1676400</xdr:colOff>
      <xdr:row>13</xdr:row>
      <xdr:rowOff>148593</xdr:rowOff>
    </xdr:to>
    <xdr:pic>
      <xdr:nvPicPr>
        <xdr:cNvPr id="2" name="Picture 1" descr="1 + r_t = \frac{1 + g_t}{1 + i_t}">
          <a:extLst>
            <a:ext uri="{FF2B5EF4-FFF2-40B4-BE49-F238E27FC236}">
              <a16:creationId xmlns:a16="http://schemas.microsoft.com/office/drawing/2014/main" id="{CE62A025-21E3-42A3-910C-563ADBD52897}"/>
            </a:ext>
          </a:extLst>
        </xdr:cNvPr>
        <xdr:cNvPicPr>
          <a:picLocks noChangeAspect="1" noChangeArrowheads="1"/>
        </xdr:cNvPicPr>
      </xdr:nvPicPr>
      <xdr:blipFill>
        <a:blip xmlns:r="http://schemas.openxmlformats.org/officeDocument/2006/relationships" r:embed="rId1"/>
        <a:stretch/>
      </xdr:blipFill>
      <xdr:spPr bwMode="auto">
        <a:xfrm>
          <a:off x="209550" y="3211831"/>
          <a:ext cx="1466850" cy="57531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IVIA\&#1055;&#1080;&#1083;&#1086;&#1090;&#1085;&#1099;&#1077;%20&#1088;&#1072;&#1079;&#1088;&#1072;&#1073;&#1086;&#1090;&#1082;&#1080;\Johvi%20Inkubaator\TTA\Infra\Finantsanal&#252;&#252;s_J&#245;hvi%20&#196;ripark%202.etapp_t&#228;iendatud_2_MB_15_05_24.xlsx" TargetMode="External"/><Relationship Id="rId1" Type="http://schemas.openxmlformats.org/officeDocument/2006/relationships/externalLinkPath" Target="file:///C:\IVIA\&#1055;&#1080;&#1083;&#1086;&#1090;&#1085;&#1099;&#1077;%20&#1088;&#1072;&#1079;&#1088;&#1072;&#1073;&#1086;&#1090;&#1082;&#1080;\Johvi%20Inkubaator\TTA\Infra\Finantsanal&#252;&#252;s_J&#245;hvi%20&#196;ripark%202.etapp_t&#228;iendatud_2_MB_15_05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uhend"/>
      <sheetName val="Arendustegevuste riigiabi liik"/>
      <sheetName val="Investeeringute riigiabi liik"/>
      <sheetName val="Esileht"/>
      <sheetName val="1. Projekti elluviimise kulud"/>
      <sheetName val="Abileht"/>
      <sheetName val="Rah.min prognoos"/>
      <sheetName val="2. Tulud-kulud projektiga"/>
      <sheetName val="3. Tulud-kulud projektita"/>
      <sheetName val="4. Lisanduvad tulud-kulud"/>
      <sheetName val="5. Abikõlblik kulu"/>
      <sheetName val="Eeldused_muugi"/>
      <sheetName val="6. Rahavood"/>
      <sheetName val="7. Tasuvus"/>
      <sheetName val="8. Jääkväärtus"/>
      <sheetName val="personal"/>
    </sheetNames>
    <sheetDataSet>
      <sheetData sheetId="0" refreshError="1"/>
      <sheetData sheetId="1" refreshError="1"/>
      <sheetData sheetId="2" refreshError="1"/>
      <sheetData sheetId="3" refreshError="1">
        <row r="10">
          <cell r="B10">
            <v>2023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fin.ee/riigi-rahandus-ja-maksud/fiskaalpoliitika-ja-majandus/rahandusministeeriumi-majandusprognoos"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workbookViewId="0">
      <selection activeCell="C4" sqref="C4"/>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166</v>
      </c>
    </row>
    <row r="2" spans="1:2" ht="9" customHeight="1" x14ac:dyDescent="0.35"/>
    <row r="3" spans="1:2" ht="43.5" customHeight="1" x14ac:dyDescent="0.35">
      <c r="A3" s="641" t="s">
        <v>165</v>
      </c>
      <c r="B3" s="362" t="s">
        <v>237</v>
      </c>
    </row>
    <row r="4" spans="1:2" ht="54" customHeight="1" x14ac:dyDescent="0.35">
      <c r="A4" s="642"/>
      <c r="B4" s="283" t="s">
        <v>236</v>
      </c>
    </row>
    <row r="5" spans="1:2" ht="69" customHeight="1" x14ac:dyDescent="0.35">
      <c r="A5" s="643"/>
      <c r="B5" s="135" t="s">
        <v>238</v>
      </c>
    </row>
    <row r="6" spans="1:2" ht="14.25" customHeight="1" x14ac:dyDescent="0.35"/>
    <row r="7" spans="1:2" ht="31.5" customHeight="1" x14ac:dyDescent="0.35">
      <c r="A7" s="278" t="s">
        <v>135</v>
      </c>
      <c r="B7" s="120" t="s">
        <v>90</v>
      </c>
    </row>
    <row r="8" spans="1:2" ht="26.25" customHeight="1" x14ac:dyDescent="0.35">
      <c r="A8" s="83" t="s">
        <v>136</v>
      </c>
      <c r="B8" s="120" t="s">
        <v>91</v>
      </c>
    </row>
    <row r="10" spans="1:2" ht="37.5" customHeight="1" x14ac:dyDescent="0.35">
      <c r="A10" s="646" t="s">
        <v>142</v>
      </c>
      <c r="B10" s="124" t="s">
        <v>141</v>
      </c>
    </row>
    <row r="11" spans="1:2" ht="36" customHeight="1" x14ac:dyDescent="0.35">
      <c r="A11" s="647"/>
      <c r="B11" s="124" t="s">
        <v>239</v>
      </c>
    </row>
    <row r="12" spans="1:2" ht="54" customHeight="1" x14ac:dyDescent="0.35">
      <c r="A12" s="647"/>
      <c r="B12" s="272" t="s">
        <v>131</v>
      </c>
    </row>
    <row r="13" spans="1:2" ht="11.25" customHeight="1" x14ac:dyDescent="0.35">
      <c r="A13" s="647"/>
      <c r="B13" s="274"/>
    </row>
    <row r="14" spans="1:2" ht="26.25" customHeight="1" x14ac:dyDescent="0.35">
      <c r="A14" s="647"/>
      <c r="B14" s="273" t="s">
        <v>92</v>
      </c>
    </row>
    <row r="15" spans="1:2" ht="33.75" customHeight="1" x14ac:dyDescent="0.35">
      <c r="A15" s="647"/>
      <c r="B15" s="272" t="s">
        <v>143</v>
      </c>
    </row>
    <row r="16" spans="1:2" ht="18" customHeight="1" x14ac:dyDescent="0.35">
      <c r="A16" s="647"/>
      <c r="B16" s="272" t="s">
        <v>93</v>
      </c>
    </row>
    <row r="17" spans="1:4" ht="21.75" customHeight="1" x14ac:dyDescent="0.35">
      <c r="A17" s="647"/>
      <c r="B17" s="272" t="s">
        <v>144</v>
      </c>
      <c r="D17" s="277"/>
    </row>
    <row r="18" spans="1:4" ht="15" customHeight="1" x14ac:dyDescent="0.35">
      <c r="A18" s="647"/>
      <c r="B18" s="274"/>
      <c r="D18" s="277"/>
    </row>
    <row r="19" spans="1:4" ht="21.75" customHeight="1" x14ac:dyDescent="0.35">
      <c r="A19" s="647"/>
      <c r="B19" s="273" t="s">
        <v>94</v>
      </c>
      <c r="D19" s="277"/>
    </row>
    <row r="20" spans="1:4" ht="34.5" customHeight="1" x14ac:dyDescent="0.35">
      <c r="A20" s="647"/>
      <c r="B20" s="272" t="s">
        <v>145</v>
      </c>
    </row>
    <row r="21" spans="1:4" ht="39.75" customHeight="1" x14ac:dyDescent="0.35">
      <c r="A21" s="647"/>
      <c r="B21" s="272" t="s">
        <v>194</v>
      </c>
    </row>
    <row r="22" spans="1:4" ht="29.25" customHeight="1" x14ac:dyDescent="0.35">
      <c r="A22" s="647"/>
      <c r="B22" s="272" t="s">
        <v>146</v>
      </c>
    </row>
    <row r="24" spans="1:4" ht="3" customHeight="1" x14ac:dyDescent="0.35"/>
    <row r="25" spans="1:4" ht="49.5" customHeight="1" x14ac:dyDescent="0.35">
      <c r="A25" s="648" t="s">
        <v>95</v>
      </c>
      <c r="B25" s="122" t="s">
        <v>147</v>
      </c>
    </row>
    <row r="26" spans="1:4" ht="16.5" customHeight="1" x14ac:dyDescent="0.35">
      <c r="A26" s="648"/>
      <c r="B26" s="275"/>
    </row>
    <row r="27" spans="1:4" ht="36.75" customHeight="1" x14ac:dyDescent="0.35">
      <c r="A27" s="648"/>
      <c r="B27" s="122" t="s">
        <v>98</v>
      </c>
    </row>
    <row r="28" spans="1:4" ht="21" customHeight="1" x14ac:dyDescent="0.35">
      <c r="A28" s="648"/>
      <c r="B28" s="122" t="s">
        <v>137</v>
      </c>
    </row>
    <row r="29" spans="1:4" ht="21.75" customHeight="1" x14ac:dyDescent="0.35">
      <c r="A29" s="648"/>
      <c r="B29" s="122" t="s">
        <v>96</v>
      </c>
    </row>
    <row r="30" spans="1:4" ht="19.5" customHeight="1" x14ac:dyDescent="0.35">
      <c r="A30" s="648"/>
      <c r="B30" s="122" t="s">
        <v>148</v>
      </c>
    </row>
    <row r="31" spans="1:4" x14ac:dyDescent="0.35">
      <c r="B31" s="121"/>
    </row>
    <row r="32" spans="1:4" ht="36" customHeight="1" x14ac:dyDescent="0.35">
      <c r="A32" s="645" t="s">
        <v>97</v>
      </c>
      <c r="B32" s="123" t="s">
        <v>133</v>
      </c>
    </row>
    <row r="33" spans="1:2" ht="21" customHeight="1" x14ac:dyDescent="0.35">
      <c r="A33" s="645"/>
      <c r="B33" s="123" t="s">
        <v>115</v>
      </c>
    </row>
    <row r="34" spans="1:2" ht="15" customHeight="1" x14ac:dyDescent="0.35">
      <c r="A34" s="316"/>
    </row>
    <row r="35" spans="1:2" ht="50.25" customHeight="1" x14ac:dyDescent="0.35">
      <c r="A35" s="317" t="s">
        <v>195</v>
      </c>
      <c r="B35" s="318" t="s">
        <v>196</v>
      </c>
    </row>
    <row r="37" spans="1:2" ht="33.75" customHeight="1" x14ac:dyDescent="0.35">
      <c r="A37" s="644" t="s">
        <v>126</v>
      </c>
      <c r="B37" s="271" t="s">
        <v>127</v>
      </c>
    </row>
    <row r="38" spans="1:2" ht="54" customHeight="1" x14ac:dyDescent="0.35">
      <c r="A38" s="644"/>
      <c r="B38" s="271" t="s">
        <v>128</v>
      </c>
    </row>
    <row r="40" spans="1:2" ht="52.5" customHeight="1" x14ac:dyDescent="0.35">
      <c r="A40" s="297" t="s">
        <v>197</v>
      </c>
      <c r="B40" s="319" t="s">
        <v>198</v>
      </c>
    </row>
    <row r="42" spans="1:2" ht="48.75" customHeight="1" x14ac:dyDescent="0.35">
      <c r="A42" s="638" t="s">
        <v>221</v>
      </c>
      <c r="B42" s="323" t="s">
        <v>235</v>
      </c>
    </row>
    <row r="43" spans="1:2" ht="145" x14ac:dyDescent="0.35">
      <c r="A43" s="639"/>
      <c r="B43" s="323" t="s">
        <v>222</v>
      </c>
    </row>
    <row r="44" spans="1:2" ht="51" customHeight="1" x14ac:dyDescent="0.35">
      <c r="A44" s="640"/>
      <c r="B44" s="323" t="s">
        <v>223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DE2F6"/>
  </sheetPr>
  <dimension ref="A1:BM17"/>
  <sheetViews>
    <sheetView workbookViewId="0"/>
  </sheetViews>
  <sheetFormatPr defaultColWidth="9.1796875" defaultRowHeight="14.5" x14ac:dyDescent="0.35"/>
  <cols>
    <col min="1" max="1" width="37.81640625" style="71" customWidth="1"/>
    <col min="2" max="2" width="7.453125" style="265" customWidth="1"/>
    <col min="3" max="16" width="7.1796875" style="1" customWidth="1"/>
    <col min="17" max="35" width="9.1796875" style="1"/>
    <col min="36" max="16384" width="9.1796875" style="70"/>
  </cols>
  <sheetData>
    <row r="1" spans="1:65" ht="18.5" x14ac:dyDescent="0.35">
      <c r="A1" s="324" t="s">
        <v>224</v>
      </c>
      <c r="E1" s="325" t="s">
        <v>225</v>
      </c>
    </row>
    <row r="2" spans="1:65" ht="8.25" customHeight="1" x14ac:dyDescent="0.35"/>
    <row r="3" spans="1:65" ht="22.5" customHeight="1" x14ac:dyDescent="0.35">
      <c r="Q3" s="326" t="s">
        <v>226</v>
      </c>
      <c r="R3" s="327">
        <f>'1. Projekti elluviimise kulud'!O25</f>
        <v>13</v>
      </c>
      <c r="S3" s="1" t="s">
        <v>73</v>
      </c>
    </row>
    <row r="4" spans="1:65" ht="20.25" customHeight="1" x14ac:dyDescent="0.35">
      <c r="C4" s="727" t="s">
        <v>227</v>
      </c>
      <c r="D4" s="727"/>
      <c r="E4" s="727"/>
      <c r="F4" s="727"/>
      <c r="G4" s="727"/>
      <c r="H4" s="727"/>
      <c r="I4" s="727"/>
      <c r="J4" s="727"/>
      <c r="K4" s="727"/>
      <c r="L4" s="727"/>
      <c r="M4" s="727"/>
      <c r="N4" s="727"/>
      <c r="O4" s="727"/>
      <c r="P4" s="727"/>
      <c r="Q4" s="727"/>
      <c r="R4" s="728" t="s">
        <v>228</v>
      </c>
      <c r="S4" s="728"/>
      <c r="T4" s="728"/>
      <c r="U4" s="728"/>
      <c r="V4" s="728"/>
      <c r="W4" s="728"/>
      <c r="X4" s="728"/>
      <c r="Y4" s="728"/>
      <c r="Z4" s="728"/>
      <c r="AA4" s="728"/>
      <c r="AB4" s="728"/>
      <c r="AC4" s="728"/>
      <c r="AD4" s="728"/>
      <c r="AE4" s="728"/>
      <c r="AF4" s="728"/>
      <c r="AG4" s="728"/>
      <c r="AH4" s="728"/>
      <c r="AI4" s="728"/>
      <c r="AJ4" s="728"/>
      <c r="AK4" s="728"/>
      <c r="AL4" s="728"/>
      <c r="AM4" s="728"/>
      <c r="AN4" s="728"/>
      <c r="AO4" s="728"/>
      <c r="AP4" s="728"/>
      <c r="AQ4" s="728"/>
      <c r="AR4" s="728"/>
      <c r="AS4" s="728"/>
      <c r="AT4" s="728"/>
      <c r="AU4" s="728"/>
      <c r="AV4" s="728"/>
      <c r="AW4" s="728"/>
      <c r="AX4" s="728"/>
      <c r="AY4" s="728"/>
      <c r="AZ4" s="728"/>
      <c r="BA4" s="728"/>
      <c r="BB4" s="728"/>
      <c r="BC4" s="728"/>
      <c r="BD4" s="728"/>
      <c r="BE4" s="728"/>
      <c r="BF4" s="728"/>
    </row>
    <row r="5" spans="1:65" ht="12" customHeight="1" x14ac:dyDescent="0.35">
      <c r="C5" s="328"/>
      <c r="D5" s="328"/>
      <c r="E5" s="328"/>
      <c r="F5" s="328"/>
      <c r="G5" s="328"/>
      <c r="H5" s="328"/>
      <c r="I5" s="328"/>
      <c r="J5" s="328"/>
      <c r="K5" s="328"/>
      <c r="L5" s="328"/>
      <c r="M5" s="328"/>
      <c r="N5" s="328"/>
      <c r="O5" s="328"/>
      <c r="P5" s="328"/>
      <c r="Q5" s="328"/>
      <c r="R5" s="329">
        <v>1</v>
      </c>
      <c r="S5" s="329">
        <v>2</v>
      </c>
      <c r="T5" s="329">
        <v>3</v>
      </c>
      <c r="U5" s="329">
        <v>4</v>
      </c>
      <c r="V5" s="329">
        <v>5</v>
      </c>
      <c r="W5" s="329">
        <v>6</v>
      </c>
      <c r="X5" s="329">
        <v>7</v>
      </c>
      <c r="Y5" s="329">
        <v>8</v>
      </c>
      <c r="Z5" s="329">
        <v>9</v>
      </c>
      <c r="AA5" s="329">
        <v>10</v>
      </c>
      <c r="AB5" s="329">
        <v>11</v>
      </c>
      <c r="AC5" s="329">
        <v>12</v>
      </c>
      <c r="AD5" s="329">
        <v>13</v>
      </c>
      <c r="AE5" s="329">
        <v>14</v>
      </c>
      <c r="AF5" s="329">
        <v>15</v>
      </c>
      <c r="AG5" s="329">
        <v>16</v>
      </c>
      <c r="AH5" s="329">
        <v>17</v>
      </c>
      <c r="AI5" s="329">
        <v>18</v>
      </c>
      <c r="AJ5" s="329">
        <v>19</v>
      </c>
      <c r="AK5" s="329">
        <v>20</v>
      </c>
      <c r="AL5" s="329">
        <v>21</v>
      </c>
      <c r="AM5" s="329">
        <v>22</v>
      </c>
      <c r="AN5" s="329">
        <v>23</v>
      </c>
      <c r="AO5" s="329">
        <v>24</v>
      </c>
      <c r="AP5" s="329">
        <v>25</v>
      </c>
      <c r="AQ5" s="329">
        <v>26</v>
      </c>
      <c r="AR5" s="329">
        <v>27</v>
      </c>
      <c r="AS5" s="329">
        <v>28</v>
      </c>
      <c r="AT5" s="329">
        <v>29</v>
      </c>
      <c r="AU5" s="329">
        <v>30</v>
      </c>
      <c r="AV5" s="329">
        <v>31</v>
      </c>
      <c r="AW5" s="329">
        <v>32</v>
      </c>
      <c r="AX5" s="329">
        <v>33</v>
      </c>
      <c r="AY5" s="329">
        <v>34</v>
      </c>
      <c r="AZ5" s="329">
        <v>35</v>
      </c>
      <c r="BA5" s="329">
        <v>36</v>
      </c>
      <c r="BB5" s="329">
        <v>37</v>
      </c>
      <c r="BC5" s="329">
        <v>38</v>
      </c>
      <c r="BD5" s="329">
        <v>39</v>
      </c>
      <c r="BE5" s="329">
        <v>40</v>
      </c>
      <c r="BF5" s="329">
        <v>41</v>
      </c>
    </row>
    <row r="6" spans="1:65" s="334" customFormat="1" ht="23.25" customHeight="1" x14ac:dyDescent="0.35">
      <c r="A6" s="330"/>
      <c r="B6" s="331"/>
      <c r="C6" s="332">
        <f>'2. Tulud-kulud projektiga'!D3</f>
        <v>2024</v>
      </c>
      <c r="D6" s="332">
        <f>C6+1</f>
        <v>2025</v>
      </c>
      <c r="E6" s="332">
        <f t="shared" ref="E6:BF6" si="0">D6+1</f>
        <v>2026</v>
      </c>
      <c r="F6" s="332">
        <f t="shared" si="0"/>
        <v>2027</v>
      </c>
      <c r="G6" s="332">
        <f t="shared" si="0"/>
        <v>2028</v>
      </c>
      <c r="H6" s="332">
        <f t="shared" si="0"/>
        <v>2029</v>
      </c>
      <c r="I6" s="332">
        <f t="shared" si="0"/>
        <v>2030</v>
      </c>
      <c r="J6" s="332">
        <f t="shared" si="0"/>
        <v>2031</v>
      </c>
      <c r="K6" s="332">
        <f t="shared" si="0"/>
        <v>2032</v>
      </c>
      <c r="L6" s="332">
        <f t="shared" si="0"/>
        <v>2033</v>
      </c>
      <c r="M6" s="332">
        <f t="shared" si="0"/>
        <v>2034</v>
      </c>
      <c r="N6" s="332">
        <f t="shared" si="0"/>
        <v>2035</v>
      </c>
      <c r="O6" s="332">
        <f t="shared" si="0"/>
        <v>2036</v>
      </c>
      <c r="P6" s="332">
        <f t="shared" si="0"/>
        <v>2037</v>
      </c>
      <c r="Q6" s="332">
        <f t="shared" si="0"/>
        <v>2038</v>
      </c>
      <c r="R6" s="333">
        <f t="shared" si="0"/>
        <v>2039</v>
      </c>
      <c r="S6" s="333">
        <f t="shared" si="0"/>
        <v>2040</v>
      </c>
      <c r="T6" s="333">
        <f t="shared" si="0"/>
        <v>2041</v>
      </c>
      <c r="U6" s="333">
        <f t="shared" si="0"/>
        <v>2042</v>
      </c>
      <c r="V6" s="333">
        <f t="shared" si="0"/>
        <v>2043</v>
      </c>
      <c r="W6" s="333">
        <f t="shared" si="0"/>
        <v>2044</v>
      </c>
      <c r="X6" s="333">
        <f t="shared" si="0"/>
        <v>2045</v>
      </c>
      <c r="Y6" s="333">
        <f t="shared" si="0"/>
        <v>2046</v>
      </c>
      <c r="Z6" s="333">
        <f t="shared" si="0"/>
        <v>2047</v>
      </c>
      <c r="AA6" s="333">
        <f t="shared" si="0"/>
        <v>2048</v>
      </c>
      <c r="AB6" s="333">
        <f t="shared" si="0"/>
        <v>2049</v>
      </c>
      <c r="AC6" s="333">
        <f t="shared" si="0"/>
        <v>2050</v>
      </c>
      <c r="AD6" s="333">
        <f t="shared" si="0"/>
        <v>2051</v>
      </c>
      <c r="AE6" s="333">
        <f t="shared" si="0"/>
        <v>2052</v>
      </c>
      <c r="AF6" s="333">
        <f t="shared" si="0"/>
        <v>2053</v>
      </c>
      <c r="AG6" s="333">
        <f t="shared" si="0"/>
        <v>2054</v>
      </c>
      <c r="AH6" s="333">
        <f t="shared" si="0"/>
        <v>2055</v>
      </c>
      <c r="AI6" s="333">
        <f t="shared" si="0"/>
        <v>2056</v>
      </c>
      <c r="AJ6" s="333">
        <f t="shared" si="0"/>
        <v>2057</v>
      </c>
      <c r="AK6" s="333">
        <f t="shared" si="0"/>
        <v>2058</v>
      </c>
      <c r="AL6" s="333">
        <f t="shared" si="0"/>
        <v>2059</v>
      </c>
      <c r="AM6" s="333">
        <f t="shared" si="0"/>
        <v>2060</v>
      </c>
      <c r="AN6" s="333">
        <f t="shared" si="0"/>
        <v>2061</v>
      </c>
      <c r="AO6" s="333">
        <f t="shared" si="0"/>
        <v>2062</v>
      </c>
      <c r="AP6" s="333">
        <f t="shared" si="0"/>
        <v>2063</v>
      </c>
      <c r="AQ6" s="333">
        <f t="shared" si="0"/>
        <v>2064</v>
      </c>
      <c r="AR6" s="333">
        <f t="shared" si="0"/>
        <v>2065</v>
      </c>
      <c r="AS6" s="333">
        <f t="shared" si="0"/>
        <v>2066</v>
      </c>
      <c r="AT6" s="333">
        <f t="shared" si="0"/>
        <v>2067</v>
      </c>
      <c r="AU6" s="333">
        <f t="shared" si="0"/>
        <v>2068</v>
      </c>
      <c r="AV6" s="333">
        <f t="shared" si="0"/>
        <v>2069</v>
      </c>
      <c r="AW6" s="333">
        <f t="shared" si="0"/>
        <v>2070</v>
      </c>
      <c r="AX6" s="333">
        <f t="shared" si="0"/>
        <v>2071</v>
      </c>
      <c r="AY6" s="333">
        <f t="shared" si="0"/>
        <v>2072</v>
      </c>
      <c r="AZ6" s="333">
        <f t="shared" si="0"/>
        <v>2073</v>
      </c>
      <c r="BA6" s="333">
        <f t="shared" si="0"/>
        <v>2074</v>
      </c>
      <c r="BB6" s="333">
        <f t="shared" si="0"/>
        <v>2075</v>
      </c>
      <c r="BC6" s="333">
        <f t="shared" si="0"/>
        <v>2076</v>
      </c>
      <c r="BD6" s="333">
        <f t="shared" si="0"/>
        <v>2077</v>
      </c>
      <c r="BE6" s="333">
        <f t="shared" si="0"/>
        <v>2078</v>
      </c>
      <c r="BF6" s="333">
        <f t="shared" si="0"/>
        <v>2079</v>
      </c>
    </row>
    <row r="7" spans="1:65" ht="4.5" customHeight="1" x14ac:dyDescent="0.35">
      <c r="A7" s="238"/>
      <c r="B7" s="246"/>
      <c r="C7" s="74"/>
      <c r="D7" s="74"/>
      <c r="E7" s="74"/>
      <c r="F7" s="74"/>
      <c r="G7" s="74"/>
      <c r="H7" s="74"/>
      <c r="I7" s="74"/>
      <c r="J7" s="74"/>
      <c r="K7" s="74"/>
      <c r="L7" s="74"/>
      <c r="M7" s="74"/>
      <c r="N7" s="74"/>
      <c r="O7" s="74"/>
      <c r="P7" s="134"/>
      <c r="Q7" s="134"/>
      <c r="R7" s="335"/>
      <c r="S7" s="335"/>
      <c r="T7" s="335"/>
      <c r="U7" s="335"/>
      <c r="V7" s="335"/>
      <c r="W7" s="335"/>
      <c r="X7" s="335"/>
      <c r="Y7" s="335"/>
      <c r="Z7" s="335"/>
      <c r="AA7" s="335"/>
      <c r="AB7" s="335"/>
      <c r="AC7" s="335"/>
      <c r="AD7" s="335"/>
      <c r="AE7" s="335"/>
      <c r="AF7" s="335"/>
      <c r="AG7" s="335"/>
      <c r="AH7" s="335"/>
      <c r="AI7" s="335"/>
      <c r="AJ7" s="336"/>
      <c r="AK7" s="336"/>
      <c r="AL7" s="336"/>
      <c r="AM7" s="336"/>
      <c r="AN7" s="336"/>
      <c r="AO7" s="336"/>
      <c r="AP7" s="336"/>
      <c r="AQ7" s="336"/>
      <c r="AR7" s="336"/>
      <c r="AS7" s="336"/>
      <c r="AT7" s="336"/>
      <c r="AU7" s="336"/>
      <c r="AV7" s="336"/>
      <c r="AW7" s="336"/>
      <c r="AX7" s="336"/>
      <c r="AY7" s="336"/>
      <c r="AZ7" s="336"/>
      <c r="BA7" s="336"/>
      <c r="BB7" s="336"/>
      <c r="BC7" s="336"/>
      <c r="BD7" s="336"/>
      <c r="BE7" s="336"/>
      <c r="BF7" s="336"/>
    </row>
    <row r="8" spans="1:65" ht="36.75" customHeight="1" x14ac:dyDescent="0.35">
      <c r="A8" s="337" t="s">
        <v>234</v>
      </c>
      <c r="B8" s="338" t="s">
        <v>3</v>
      </c>
      <c r="C8" s="729">
        <f>'5. Abikõlblik kulu'!D11-'5. Abikõlblik kulu'!D12</f>
        <v>-14796.227058639983</v>
      </c>
      <c r="D8" s="730"/>
      <c r="E8" s="730"/>
      <c r="F8" s="730"/>
      <c r="G8" s="730"/>
      <c r="H8" s="730"/>
      <c r="I8" s="730"/>
      <c r="J8" s="730"/>
      <c r="K8" s="730"/>
      <c r="L8" s="730"/>
      <c r="M8" s="730"/>
      <c r="N8" s="730"/>
      <c r="O8" s="730"/>
      <c r="P8" s="730"/>
      <c r="Q8" s="731"/>
      <c r="R8" s="335"/>
      <c r="S8" s="335"/>
      <c r="T8" s="335"/>
      <c r="U8" s="335"/>
      <c r="V8" s="335"/>
      <c r="W8" s="335"/>
      <c r="X8" s="335"/>
      <c r="Y8" s="335"/>
      <c r="Z8" s="335"/>
      <c r="AA8" s="335"/>
      <c r="AB8" s="335"/>
      <c r="AC8" s="335"/>
      <c r="AD8" s="335"/>
      <c r="AE8" s="335"/>
      <c r="AF8" s="335"/>
      <c r="AG8" s="335"/>
      <c r="AH8" s="335"/>
      <c r="AI8" s="335"/>
      <c r="AJ8" s="336"/>
      <c r="AK8" s="336"/>
      <c r="AL8" s="336"/>
      <c r="AM8" s="336"/>
      <c r="AN8" s="336"/>
      <c r="AO8" s="336"/>
      <c r="AP8" s="336"/>
      <c r="AQ8" s="336"/>
      <c r="AR8" s="336"/>
      <c r="AS8" s="336"/>
      <c r="AT8" s="336"/>
      <c r="AU8" s="336"/>
      <c r="AV8" s="336"/>
      <c r="AW8" s="336"/>
      <c r="AX8" s="336"/>
      <c r="AY8" s="336"/>
      <c r="AZ8" s="336"/>
      <c r="BA8" s="336"/>
      <c r="BB8" s="336"/>
      <c r="BC8" s="336"/>
      <c r="BD8" s="336"/>
      <c r="BE8" s="336"/>
      <c r="BF8" s="336"/>
    </row>
    <row r="9" spans="1:65" ht="24.75" customHeight="1" x14ac:dyDescent="0.35">
      <c r="A9" s="339" t="s">
        <v>229</v>
      </c>
      <c r="B9" s="338" t="s">
        <v>3</v>
      </c>
      <c r="C9" s="732" t="str">
        <f>IF(AND((C8&gt;0),(R3&gt;0)),"Projekti varale on vaja arvutada jääkväärtus","Jääkväärtust ei ole vaja arvutada")</f>
        <v>Jääkväärtust ei ole vaja arvutada</v>
      </c>
      <c r="D9" s="733"/>
      <c r="E9" s="733"/>
      <c r="F9" s="733"/>
      <c r="G9" s="733"/>
      <c r="H9" s="733"/>
      <c r="I9" s="733"/>
      <c r="J9" s="733"/>
      <c r="K9" s="733"/>
      <c r="L9" s="733"/>
      <c r="M9" s="733"/>
      <c r="N9" s="733"/>
      <c r="O9" s="733"/>
      <c r="P9" s="733"/>
      <c r="Q9" s="734"/>
      <c r="R9" s="335"/>
      <c r="S9" s="335"/>
      <c r="T9" s="335"/>
      <c r="U9" s="335"/>
      <c r="V9" s="335"/>
      <c r="W9" s="335"/>
      <c r="X9" s="335"/>
      <c r="Y9" s="335"/>
      <c r="Z9" s="335"/>
      <c r="AA9" s="335"/>
      <c r="AB9" s="335"/>
      <c r="AC9" s="335"/>
      <c r="AD9" s="335"/>
      <c r="AE9" s="335"/>
      <c r="AF9" s="335"/>
      <c r="AG9" s="335"/>
      <c r="AH9" s="335"/>
      <c r="AI9" s="335"/>
      <c r="AJ9" s="336"/>
      <c r="AK9" s="336"/>
      <c r="AL9" s="336"/>
      <c r="AM9" s="336"/>
      <c r="AN9" s="336"/>
      <c r="AO9" s="336"/>
      <c r="AP9" s="336"/>
      <c r="AQ9" s="336"/>
      <c r="AR9" s="336"/>
      <c r="AS9" s="336"/>
      <c r="AT9" s="336"/>
      <c r="AU9" s="336"/>
      <c r="AV9" s="336"/>
      <c r="AW9" s="336"/>
      <c r="AX9" s="336"/>
      <c r="AY9" s="336"/>
      <c r="AZ9" s="336"/>
      <c r="BA9" s="336"/>
      <c r="BB9" s="336"/>
      <c r="BC9" s="336"/>
      <c r="BD9" s="336"/>
      <c r="BE9" s="336"/>
      <c r="BF9" s="336"/>
    </row>
    <row r="10" spans="1:65" ht="4.5" customHeight="1" x14ac:dyDescent="0.35">
      <c r="A10" s="238"/>
      <c r="B10" s="246"/>
      <c r="C10" s="74"/>
      <c r="D10" s="74"/>
      <c r="E10" s="74"/>
      <c r="F10" s="74"/>
      <c r="G10" s="74"/>
      <c r="H10" s="74"/>
      <c r="I10" s="74"/>
      <c r="J10" s="74"/>
      <c r="K10" s="74"/>
      <c r="L10" s="74"/>
      <c r="M10" s="74"/>
      <c r="N10" s="74"/>
      <c r="O10" s="74"/>
      <c r="P10" s="74"/>
      <c r="Q10" s="74"/>
      <c r="R10" s="335"/>
      <c r="S10" s="335"/>
      <c r="T10" s="335"/>
      <c r="U10" s="335"/>
      <c r="V10" s="335"/>
      <c r="W10" s="335"/>
      <c r="X10" s="335"/>
      <c r="Y10" s="335"/>
      <c r="Z10" s="335"/>
      <c r="AA10" s="335"/>
      <c r="AB10" s="335"/>
      <c r="AC10" s="335"/>
      <c r="AD10" s="335"/>
      <c r="AE10" s="335"/>
      <c r="AF10" s="335"/>
      <c r="AG10" s="335"/>
      <c r="AH10" s="335"/>
      <c r="AI10" s="335"/>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row>
    <row r="11" spans="1:65" s="244" customFormat="1" ht="39.75" customHeight="1" x14ac:dyDescent="0.35">
      <c r="A11" s="340" t="s">
        <v>230</v>
      </c>
      <c r="B11" s="338" t="s">
        <v>3</v>
      </c>
      <c r="C11" s="308"/>
      <c r="D11" s="308"/>
      <c r="E11" s="308"/>
      <c r="F11" s="308"/>
      <c r="G11" s="308"/>
      <c r="H11" s="308"/>
      <c r="I11" s="308"/>
      <c r="J11" s="308"/>
      <c r="K11" s="308"/>
      <c r="L11" s="308"/>
      <c r="M11" s="308"/>
      <c r="N11" s="308"/>
      <c r="O11" s="308"/>
      <c r="P11" s="308"/>
      <c r="Q11" s="341">
        <f>'4. Lisanduvad tulud-kulud'!R121</f>
        <v>-32389.600000000002</v>
      </c>
      <c r="R11" s="342"/>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4"/>
      <c r="BH11" s="344"/>
      <c r="BI11" s="344"/>
      <c r="BJ11" s="344"/>
      <c r="BK11" s="344"/>
      <c r="BL11" s="344"/>
      <c r="BM11" s="345"/>
    </row>
    <row r="12" spans="1:65" ht="60.75" customHeight="1" x14ac:dyDescent="0.35">
      <c r="A12" s="340" t="s">
        <v>231</v>
      </c>
      <c r="B12" s="338" t="s">
        <v>3</v>
      </c>
      <c r="C12" s="346"/>
      <c r="D12" s="346"/>
      <c r="E12" s="346"/>
      <c r="F12" s="346"/>
      <c r="G12" s="346"/>
      <c r="H12" s="346"/>
      <c r="I12" s="346"/>
      <c r="J12" s="346"/>
      <c r="K12" s="346"/>
      <c r="L12" s="346"/>
      <c r="M12" s="346"/>
      <c r="N12" s="346"/>
      <c r="O12" s="346"/>
      <c r="P12" s="346"/>
      <c r="Q12" s="346"/>
      <c r="R12" s="347">
        <f>IF(Q11&gt;0,IF(R3&gt;0,Q11,0),0)</f>
        <v>0</v>
      </c>
      <c r="S12" s="347">
        <f>IF($R$3&gt;1,R12,0)</f>
        <v>0</v>
      </c>
      <c r="T12" s="347">
        <f>IF($R$3&gt;2,S12,0)</f>
        <v>0</v>
      </c>
      <c r="U12" s="347">
        <f>IF($R$3&gt;3,T12,0)</f>
        <v>0</v>
      </c>
      <c r="V12" s="347">
        <f>IF($R$3&gt;4,U12,0)</f>
        <v>0</v>
      </c>
      <c r="W12" s="347">
        <f>IF($R$3&gt;5,V12,0)</f>
        <v>0</v>
      </c>
      <c r="X12" s="347">
        <f>IF($R$3&gt;6,W12,0)</f>
        <v>0</v>
      </c>
      <c r="Y12" s="347">
        <f>IF($R$3&gt;7,X12,0)</f>
        <v>0</v>
      </c>
      <c r="Z12" s="347">
        <f>IF($R$3&gt;8,Y12,0)</f>
        <v>0</v>
      </c>
      <c r="AA12" s="347">
        <f>IF($R$3&gt;9,Z12,0)</f>
        <v>0</v>
      </c>
      <c r="AB12" s="347">
        <f>IF($R$3&gt;10,AA12,0)</f>
        <v>0</v>
      </c>
      <c r="AC12" s="347">
        <f>IF($R$3&gt;11,AB12,0)</f>
        <v>0</v>
      </c>
      <c r="AD12" s="347"/>
      <c r="AE12" s="347"/>
      <c r="AF12" s="347"/>
      <c r="AG12" s="347"/>
      <c r="AH12" s="347"/>
      <c r="AI12" s="347"/>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9"/>
      <c r="BH12" s="349"/>
      <c r="BI12" s="349"/>
      <c r="BJ12" s="349"/>
      <c r="BK12" s="349"/>
      <c r="BL12" s="349"/>
      <c r="BM12" s="350"/>
    </row>
    <row r="13" spans="1:65" ht="30.75" customHeight="1" x14ac:dyDescent="0.35">
      <c r="A13" s="340" t="s">
        <v>78</v>
      </c>
      <c r="B13" s="338" t="s">
        <v>3</v>
      </c>
      <c r="C13" s="346"/>
      <c r="D13" s="346"/>
      <c r="E13" s="346"/>
      <c r="F13" s="346"/>
      <c r="G13" s="346"/>
      <c r="H13" s="346"/>
      <c r="I13" s="346"/>
      <c r="J13" s="346"/>
      <c r="K13" s="346"/>
      <c r="L13" s="346"/>
      <c r="M13" s="346"/>
      <c r="N13" s="346"/>
      <c r="O13" s="346"/>
      <c r="P13" s="346"/>
      <c r="Q13" s="341">
        <f>NPV(C16,R12:BF12)</f>
        <v>0</v>
      </c>
      <c r="R13" s="351"/>
      <c r="S13" s="351"/>
      <c r="T13" s="351"/>
      <c r="U13" s="351"/>
      <c r="V13" s="351"/>
      <c r="W13" s="351"/>
      <c r="X13" s="351"/>
      <c r="Y13" s="351"/>
      <c r="Z13" s="351"/>
      <c r="AA13" s="351"/>
      <c r="AB13" s="351"/>
      <c r="AC13" s="351"/>
      <c r="AD13" s="351"/>
      <c r="AE13" s="351"/>
      <c r="AF13" s="351"/>
      <c r="AG13" s="351"/>
      <c r="AH13" s="351"/>
      <c r="AI13" s="351"/>
      <c r="AJ13" s="352"/>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49"/>
      <c r="BH13" s="349"/>
      <c r="BI13" s="349"/>
      <c r="BJ13" s="349"/>
      <c r="BK13" s="349"/>
      <c r="BL13" s="349"/>
      <c r="BM13" s="350"/>
    </row>
    <row r="14" spans="1:65" ht="40.5" customHeight="1" x14ac:dyDescent="0.35">
      <c r="A14" s="340" t="s">
        <v>232</v>
      </c>
      <c r="B14" s="338" t="s">
        <v>3</v>
      </c>
      <c r="C14" s="346">
        <v>0</v>
      </c>
      <c r="D14" s="346">
        <v>0</v>
      </c>
      <c r="E14" s="346">
        <v>0</v>
      </c>
      <c r="F14" s="346">
        <v>0</v>
      </c>
      <c r="G14" s="346">
        <v>0</v>
      </c>
      <c r="H14" s="346">
        <v>0</v>
      </c>
      <c r="I14" s="346">
        <v>0</v>
      </c>
      <c r="J14" s="346">
        <v>0</v>
      </c>
      <c r="K14" s="346">
        <v>0</v>
      </c>
      <c r="L14" s="346">
        <v>0</v>
      </c>
      <c r="M14" s="346">
        <v>0</v>
      </c>
      <c r="N14" s="346">
        <v>0</v>
      </c>
      <c r="O14" s="346">
        <v>0</v>
      </c>
      <c r="P14" s="346">
        <v>0</v>
      </c>
      <c r="Q14" s="341">
        <f>IF(Q13&gt;0,Q13,0)</f>
        <v>0</v>
      </c>
      <c r="R14" s="353"/>
      <c r="S14" s="351"/>
      <c r="T14" s="351"/>
      <c r="U14" s="351"/>
      <c r="V14" s="351"/>
      <c r="W14" s="351"/>
      <c r="X14" s="351"/>
      <c r="Y14" s="351"/>
      <c r="Z14" s="351"/>
      <c r="AA14" s="351"/>
      <c r="AB14" s="351"/>
      <c r="AC14" s="351"/>
      <c r="AD14" s="351"/>
      <c r="AE14" s="351"/>
      <c r="AF14" s="351"/>
      <c r="AG14" s="351"/>
      <c r="AH14" s="351"/>
      <c r="AI14" s="351"/>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49"/>
      <c r="BH14" s="349"/>
      <c r="BI14" s="349"/>
      <c r="BJ14" s="349"/>
      <c r="BK14" s="349"/>
      <c r="BL14" s="349"/>
      <c r="BM14" s="350"/>
    </row>
    <row r="15" spans="1:65" ht="18.75" customHeight="1" x14ac:dyDescent="0.35">
      <c r="A15" s="354"/>
      <c r="C15" s="16"/>
      <c r="D15" s="16"/>
      <c r="E15" s="16"/>
      <c r="F15" s="16"/>
      <c r="G15" s="16"/>
      <c r="H15" s="16"/>
      <c r="I15" s="16"/>
      <c r="J15" s="16"/>
      <c r="K15" s="16"/>
      <c r="L15" s="16"/>
      <c r="M15" s="16"/>
      <c r="N15" s="16"/>
      <c r="O15" s="16"/>
      <c r="P15" s="16"/>
      <c r="Q15" s="16"/>
      <c r="R15" s="355"/>
      <c r="S15" s="356"/>
      <c r="T15" s="356"/>
      <c r="U15" s="356"/>
      <c r="V15" s="356"/>
      <c r="W15" s="356"/>
      <c r="X15" s="356"/>
      <c r="Y15" s="356"/>
      <c r="Z15" s="356"/>
      <c r="AA15" s="356"/>
      <c r="AB15" s="356"/>
      <c r="AC15" s="356"/>
      <c r="AD15" s="356"/>
      <c r="AE15" s="356"/>
      <c r="AF15" s="356"/>
      <c r="AG15" s="356"/>
      <c r="AH15" s="356"/>
      <c r="AI15" s="356"/>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row>
    <row r="16" spans="1:65" ht="22.5" customHeight="1" x14ac:dyDescent="0.35">
      <c r="A16" s="357" t="s">
        <v>72</v>
      </c>
      <c r="B16" s="358"/>
      <c r="C16" s="735">
        <f>'5. Abikõlblik kulu'!C3</f>
        <v>0.04</v>
      </c>
      <c r="D16" s="726"/>
    </row>
    <row r="17" spans="1:4" ht="39" customHeight="1" x14ac:dyDescent="0.35">
      <c r="A17" s="323" t="s">
        <v>233</v>
      </c>
      <c r="B17" s="359" t="s">
        <v>3</v>
      </c>
      <c r="C17" s="725">
        <f>NPV(C16,C14:Q14)</f>
        <v>0</v>
      </c>
      <c r="D17" s="726"/>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99862-B6ED-4F1C-8EB7-08745DC1F589}">
  <sheetPr>
    <tabColor indexed="45"/>
  </sheetPr>
  <dimension ref="A1:AB34"/>
  <sheetViews>
    <sheetView zoomScaleNormal="100" workbookViewId="0">
      <pane xSplit="5" ySplit="3" topLeftCell="F4" activePane="bottomRight" state="frozen"/>
      <selection activeCell="AW1" sqref="AW1:AX1048576"/>
      <selection pane="topRight" activeCell="AW1" sqref="AW1:AX1048576"/>
      <selection pane="bottomLeft" activeCell="AW1" sqref="AW1:AX1048576"/>
      <selection pane="bottomRight" activeCell="P23" sqref="P23"/>
    </sheetView>
  </sheetViews>
  <sheetFormatPr defaultColWidth="9.1796875" defaultRowHeight="11.5" outlineLevelCol="1" x14ac:dyDescent="0.25"/>
  <cols>
    <col min="1" max="1" width="37.81640625" style="522" customWidth="1"/>
    <col min="2" max="2" width="10" style="522" customWidth="1"/>
    <col min="3" max="3" width="10.453125" style="522" customWidth="1"/>
    <col min="4" max="5" width="7.54296875" style="522" customWidth="1"/>
    <col min="6" max="6" width="8.453125" style="522" customWidth="1"/>
    <col min="7" max="7" width="8.453125" style="522" customWidth="1" outlineLevel="1"/>
    <col min="8" max="10" width="8.54296875" style="522" customWidth="1" outlineLevel="1"/>
    <col min="11" max="11" width="8.453125" style="522" customWidth="1" outlineLevel="1"/>
    <col min="12" max="12" width="8.81640625" style="522" customWidth="1" outlineLevel="1"/>
    <col min="13" max="13" width="9" style="522" customWidth="1" outlineLevel="1"/>
    <col min="14" max="14" width="9.1796875" style="522" customWidth="1" outlineLevel="1"/>
    <col min="15" max="15" width="8" style="522" customWidth="1" outlineLevel="1"/>
    <col min="16" max="18" width="7.81640625" style="522" customWidth="1" outlineLevel="1"/>
    <col min="19" max="19" width="9.453125" style="522" customWidth="1"/>
    <col min="20" max="20" width="3.453125" style="522" customWidth="1"/>
    <col min="21" max="21" width="8.81640625" style="522" hidden="1" customWidth="1"/>
    <col min="22" max="22" width="3.453125" style="522" hidden="1" customWidth="1"/>
    <col min="23" max="23" width="7.453125" style="522" hidden="1" customWidth="1"/>
    <col min="24" max="24" width="8.453125" style="522" hidden="1" customWidth="1"/>
    <col min="25" max="25" width="33.54296875" style="522" hidden="1" customWidth="1"/>
    <col min="26" max="26" width="37.54296875" style="522" hidden="1" customWidth="1"/>
    <col min="27" max="27" width="9.1796875" style="522" customWidth="1"/>
    <col min="28" max="16384" width="9.1796875" style="522"/>
  </cols>
  <sheetData>
    <row r="1" spans="1:28" ht="13" x14ac:dyDescent="0.3">
      <c r="A1" s="521"/>
      <c r="D1" s="736" t="s">
        <v>368</v>
      </c>
      <c r="E1" s="737"/>
      <c r="F1" s="738"/>
      <c r="G1" s="739" t="s">
        <v>369</v>
      </c>
      <c r="H1" s="739"/>
      <c r="I1" s="739"/>
      <c r="J1" s="739"/>
      <c r="K1" s="739"/>
      <c r="L1" s="739"/>
      <c r="M1" s="739"/>
      <c r="N1" s="739"/>
      <c r="O1" s="739"/>
      <c r="P1" s="739"/>
      <c r="Q1" s="636"/>
      <c r="R1" s="636"/>
      <c r="S1" s="523"/>
      <c r="T1" s="524"/>
      <c r="U1" s="524"/>
      <c r="V1" s="524"/>
      <c r="W1" s="524"/>
      <c r="X1" s="524"/>
    </row>
    <row r="2" spans="1:28" ht="15.75" customHeight="1" thickBot="1" x14ac:dyDescent="0.35">
      <c r="A2" s="525"/>
      <c r="B2" s="526"/>
      <c r="C2" s="526"/>
      <c r="D2" s="740" t="s">
        <v>370</v>
      </c>
      <c r="E2" s="741"/>
      <c r="F2" s="742"/>
      <c r="G2" s="527">
        <v>1</v>
      </c>
      <c r="H2" s="527">
        <f t="shared" ref="H2:P2" si="0">G2+1</f>
        <v>2</v>
      </c>
      <c r="I2" s="527">
        <f t="shared" si="0"/>
        <v>3</v>
      </c>
      <c r="J2" s="527">
        <f t="shared" si="0"/>
        <v>4</v>
      </c>
      <c r="K2" s="527">
        <f t="shared" si="0"/>
        <v>5</v>
      </c>
      <c r="L2" s="527">
        <f t="shared" si="0"/>
        <v>6</v>
      </c>
      <c r="M2" s="527">
        <f t="shared" si="0"/>
        <v>7</v>
      </c>
      <c r="N2" s="527">
        <f t="shared" si="0"/>
        <v>8</v>
      </c>
      <c r="O2" s="527">
        <f t="shared" si="0"/>
        <v>9</v>
      </c>
      <c r="P2" s="527">
        <f t="shared" si="0"/>
        <v>10</v>
      </c>
      <c r="Q2" s="527">
        <f t="shared" ref="Q2" si="1">P2+1</f>
        <v>11</v>
      </c>
      <c r="R2" s="527">
        <f t="shared" ref="R2" si="2">Q2+1</f>
        <v>12</v>
      </c>
      <c r="S2" s="528" t="s">
        <v>64</v>
      </c>
    </row>
    <row r="3" spans="1:28" ht="27" customHeight="1" thickTop="1" thickBot="1" x14ac:dyDescent="0.3">
      <c r="A3" s="529" t="s">
        <v>371</v>
      </c>
      <c r="B3" s="529"/>
      <c r="C3" s="530"/>
      <c r="D3" s="531">
        <f>'2. Tulud-kulud projektiga'!D3</f>
        <v>2024</v>
      </c>
      <c r="E3" s="532">
        <f>'2. Tulud-kulud projektiga'!E3</f>
        <v>2025</v>
      </c>
      <c r="F3" s="533">
        <f>'2. Tulud-kulud projektiga'!F3</f>
        <v>2026</v>
      </c>
      <c r="G3" s="530">
        <f>'2. Tulud-kulud projektiga'!G3</f>
        <v>2027</v>
      </c>
      <c r="H3" s="530">
        <f>'2. Tulud-kulud projektiga'!H3</f>
        <v>2028</v>
      </c>
      <c r="I3" s="530">
        <f>'2. Tulud-kulud projektiga'!I3</f>
        <v>2029</v>
      </c>
      <c r="J3" s="530">
        <f>'2. Tulud-kulud projektiga'!J3</f>
        <v>2030</v>
      </c>
      <c r="K3" s="530">
        <f>'2. Tulud-kulud projektiga'!K3</f>
        <v>2031</v>
      </c>
      <c r="L3" s="530">
        <f>'2. Tulud-kulud projektiga'!L3</f>
        <v>2032</v>
      </c>
      <c r="M3" s="530">
        <f>'2. Tulud-kulud projektiga'!M3</f>
        <v>2033</v>
      </c>
      <c r="N3" s="530">
        <f>'2. Tulud-kulud projektiga'!N3</f>
        <v>2034</v>
      </c>
      <c r="O3" s="530">
        <f>'2. Tulud-kulud projektiga'!O3</f>
        <v>2035</v>
      </c>
      <c r="P3" s="530">
        <f>'2. Tulud-kulud projektiga'!P3</f>
        <v>2036</v>
      </c>
      <c r="Q3" s="530">
        <f>'2. Tulud-kulud projektiga'!Q3</f>
        <v>2037</v>
      </c>
      <c r="R3" s="530">
        <f>'2. Tulud-kulud projektiga'!R3</f>
        <v>2038</v>
      </c>
      <c r="S3" s="534" t="s">
        <v>416</v>
      </c>
      <c r="T3" s="535"/>
      <c r="U3" s="535"/>
      <c r="V3" s="535"/>
      <c r="W3" s="743" t="s">
        <v>372</v>
      </c>
      <c r="X3" s="743"/>
      <c r="Y3" s="743"/>
      <c r="Z3" s="536" t="s">
        <v>373</v>
      </c>
    </row>
    <row r="4" spans="1:28" ht="12.5" thickTop="1" x14ac:dyDescent="0.25">
      <c r="A4" s="537"/>
      <c r="B4" s="537"/>
      <c r="C4" s="535"/>
      <c r="D4" s="538"/>
      <c r="E4" s="539"/>
      <c r="F4" s="540"/>
      <c r="G4" s="541"/>
      <c r="H4" s="541"/>
      <c r="I4" s="541"/>
      <c r="J4" s="542"/>
      <c r="K4" s="542"/>
      <c r="L4" s="542"/>
      <c r="M4" s="542"/>
      <c r="N4" s="542"/>
      <c r="O4" s="542"/>
      <c r="P4" s="542"/>
      <c r="Q4" s="542"/>
      <c r="R4" s="542"/>
      <c r="S4" s="543"/>
      <c r="T4" s="542"/>
      <c r="U4" s="542"/>
      <c r="V4" s="542"/>
      <c r="W4" s="544"/>
      <c r="X4" s="542"/>
      <c r="Y4" s="545"/>
      <c r="Z4" s="546"/>
    </row>
    <row r="5" spans="1:28" x14ac:dyDescent="0.25">
      <c r="A5" s="547" t="s">
        <v>374</v>
      </c>
      <c r="B5" s="547"/>
      <c r="C5" s="548" t="s">
        <v>375</v>
      </c>
      <c r="D5" s="549"/>
      <c r="E5" s="550"/>
      <c r="F5" s="551"/>
      <c r="G5" s="552"/>
      <c r="H5" s="552">
        <f>G6</f>
        <v>1</v>
      </c>
      <c r="I5" s="552">
        <f>H5+H6</f>
        <v>2</v>
      </c>
      <c r="J5" s="552">
        <f>I5+I6</f>
        <v>3</v>
      </c>
      <c r="K5" s="552">
        <f t="shared" ref="K5:P5" si="3">J5+J6</f>
        <v>4</v>
      </c>
      <c r="L5" s="552">
        <f t="shared" si="3"/>
        <v>5</v>
      </c>
      <c r="M5" s="552">
        <f t="shared" si="3"/>
        <v>6</v>
      </c>
      <c r="N5" s="552">
        <f t="shared" si="3"/>
        <v>7</v>
      </c>
      <c r="O5" s="552">
        <f t="shared" si="3"/>
        <v>8</v>
      </c>
      <c r="P5" s="552">
        <f t="shared" si="3"/>
        <v>9</v>
      </c>
      <c r="Q5" s="552">
        <f>P5</f>
        <v>9</v>
      </c>
      <c r="R5" s="552">
        <f>Q5</f>
        <v>9</v>
      </c>
      <c r="S5" s="553">
        <f>MAX(F5:R5)</f>
        <v>9</v>
      </c>
      <c r="T5" s="554"/>
      <c r="U5" s="554">
        <f>P5</f>
        <v>9</v>
      </c>
      <c r="V5" s="554"/>
      <c r="W5" s="555" t="s">
        <v>376</v>
      </c>
      <c r="X5" s="556" t="s">
        <v>377</v>
      </c>
      <c r="Y5" s="557" t="s">
        <v>378</v>
      </c>
      <c r="Z5" s="558" t="s">
        <v>379</v>
      </c>
    </row>
    <row r="6" spans="1:28" x14ac:dyDescent="0.25">
      <c r="A6" s="547" t="s">
        <v>380</v>
      </c>
      <c r="B6" s="547"/>
      <c r="C6" s="548" t="s">
        <v>375</v>
      </c>
      <c r="D6" s="549"/>
      <c r="E6" s="550"/>
      <c r="F6" s="559"/>
      <c r="G6" s="552">
        <v>1</v>
      </c>
      <c r="H6" s="552">
        <v>1</v>
      </c>
      <c r="I6" s="552">
        <v>1</v>
      </c>
      <c r="J6" s="552">
        <v>1</v>
      </c>
      <c r="K6" s="552">
        <v>1</v>
      </c>
      <c r="L6" s="552">
        <v>1</v>
      </c>
      <c r="M6" s="552">
        <v>1</v>
      </c>
      <c r="N6" s="552">
        <v>1</v>
      </c>
      <c r="O6" s="552">
        <v>1</v>
      </c>
      <c r="P6" s="552"/>
      <c r="Q6" s="552"/>
      <c r="R6" s="552"/>
      <c r="S6" s="553"/>
      <c r="T6" s="554"/>
      <c r="U6" s="554"/>
      <c r="V6" s="554"/>
      <c r="W6" s="555"/>
      <c r="X6" s="556"/>
      <c r="Y6" s="557"/>
      <c r="Z6" s="558"/>
    </row>
    <row r="7" spans="1:28" ht="15" customHeight="1" x14ac:dyDescent="0.25">
      <c r="A7" s="547" t="s">
        <v>381</v>
      </c>
      <c r="B7" s="547"/>
      <c r="C7" s="548" t="s">
        <v>375</v>
      </c>
      <c r="D7" s="549"/>
      <c r="E7" s="550"/>
      <c r="F7" s="559"/>
      <c r="G7" s="552">
        <f>G6</f>
        <v>1</v>
      </c>
      <c r="H7" s="552">
        <f>G7+H6</f>
        <v>2</v>
      </c>
      <c r="I7" s="552">
        <f>H7+I6</f>
        <v>3</v>
      </c>
      <c r="J7" s="552">
        <f t="shared" ref="J7:P7" si="4">I7+J6</f>
        <v>4</v>
      </c>
      <c r="K7" s="552">
        <f t="shared" si="4"/>
        <v>5</v>
      </c>
      <c r="L7" s="552">
        <f t="shared" si="4"/>
        <v>6</v>
      </c>
      <c r="M7" s="552">
        <f t="shared" si="4"/>
        <v>7</v>
      </c>
      <c r="N7" s="552">
        <f t="shared" si="4"/>
        <v>8</v>
      </c>
      <c r="O7" s="552">
        <f t="shared" si="4"/>
        <v>9</v>
      </c>
      <c r="P7" s="552">
        <f t="shared" si="4"/>
        <v>9</v>
      </c>
      <c r="Q7" s="552">
        <f>P7</f>
        <v>9</v>
      </c>
      <c r="R7" s="552">
        <f>Q7</f>
        <v>9</v>
      </c>
      <c r="S7" s="553">
        <f>MAX(F7:R7)</f>
        <v>9</v>
      </c>
      <c r="T7" s="554"/>
      <c r="U7" s="554"/>
      <c r="V7" s="554"/>
      <c r="W7" s="560"/>
      <c r="X7" s="556"/>
      <c r="Y7" s="557"/>
      <c r="Z7" s="558" t="s">
        <v>382</v>
      </c>
    </row>
    <row r="8" spans="1:28" ht="20.25" customHeight="1" x14ac:dyDescent="0.25">
      <c r="A8" s="547" t="s">
        <v>383</v>
      </c>
      <c r="B8" s="561">
        <f>ROUND(200/8,0)</f>
        <v>25</v>
      </c>
      <c r="C8" s="548" t="s">
        <v>384</v>
      </c>
      <c r="D8" s="549"/>
      <c r="E8" s="550"/>
      <c r="F8" s="551"/>
      <c r="G8" s="552"/>
      <c r="H8" s="552"/>
      <c r="I8" s="552">
        <f>$B$8*I5</f>
        <v>50</v>
      </c>
      <c r="J8" s="552">
        <f t="shared" ref="J8:P8" si="5">$B$8*J5</f>
        <v>75</v>
      </c>
      <c r="K8" s="552">
        <f t="shared" si="5"/>
        <v>100</v>
      </c>
      <c r="L8" s="552">
        <f t="shared" si="5"/>
        <v>125</v>
      </c>
      <c r="M8" s="552">
        <f t="shared" si="5"/>
        <v>150</v>
      </c>
      <c r="N8" s="552">
        <f t="shared" si="5"/>
        <v>175</v>
      </c>
      <c r="O8" s="552">
        <f t="shared" si="5"/>
        <v>200</v>
      </c>
      <c r="P8" s="552">
        <f t="shared" si="5"/>
        <v>225</v>
      </c>
      <c r="Q8" s="552">
        <f>P8</f>
        <v>225</v>
      </c>
      <c r="R8" s="552">
        <f>Q8</f>
        <v>225</v>
      </c>
      <c r="S8" s="553">
        <f>MAX(F8:R8)</f>
        <v>225</v>
      </c>
      <c r="T8" s="554"/>
      <c r="U8" s="554"/>
      <c r="V8" s="554"/>
      <c r="W8" s="560">
        <f>B8</f>
        <v>25</v>
      </c>
      <c r="X8" s="556" t="str">
        <f>C8</f>
        <v>inimesed</v>
      </c>
      <c r="Y8" s="557" t="s">
        <v>385</v>
      </c>
      <c r="Z8" s="558" t="s">
        <v>386</v>
      </c>
    </row>
    <row r="9" spans="1:28" ht="21" customHeight="1" x14ac:dyDescent="0.25">
      <c r="A9" s="562" t="s">
        <v>387</v>
      </c>
      <c r="B9" s="563"/>
      <c r="C9" s="548" t="s">
        <v>265</v>
      </c>
      <c r="D9" s="564"/>
      <c r="E9" s="565"/>
      <c r="F9" s="551"/>
      <c r="G9" s="552">
        <f>Eeldused_müük!B25</f>
        <v>7783</v>
      </c>
      <c r="H9" s="552">
        <f>Eeldused_müük!B26</f>
        <v>5481</v>
      </c>
      <c r="I9" s="552">
        <f>Eeldused_müük!B31</f>
        <v>3676</v>
      </c>
      <c r="J9" s="552">
        <f>Eeldused_müük!B30</f>
        <v>3625</v>
      </c>
      <c r="K9" s="552">
        <f>Eeldused_müük!B32</f>
        <v>3644</v>
      </c>
      <c r="L9" s="552">
        <f>Eeldused_müük!B27</f>
        <v>5758</v>
      </c>
      <c r="M9" s="552">
        <f>Eeldused_müük!B28</f>
        <v>5528</v>
      </c>
      <c r="N9" s="552">
        <f>Eeldused_müük!B33</f>
        <v>6743</v>
      </c>
      <c r="O9" s="552">
        <f>Eeldused_müük!B29</f>
        <v>3557</v>
      </c>
      <c r="P9" s="552"/>
      <c r="Q9" s="552"/>
      <c r="R9" s="552"/>
      <c r="S9" s="553">
        <f>SUM(D9:P9)</f>
        <v>45795</v>
      </c>
      <c r="T9" s="554"/>
      <c r="U9" s="554"/>
      <c r="V9" s="554"/>
      <c r="W9" s="560"/>
      <c r="X9" s="556"/>
      <c r="Y9" s="557"/>
      <c r="Z9" s="558"/>
      <c r="AA9" s="566"/>
      <c r="AB9" s="526"/>
    </row>
    <row r="10" spans="1:28" ht="15.75" customHeight="1" x14ac:dyDescent="0.25">
      <c r="A10" s="562" t="s">
        <v>388</v>
      </c>
      <c r="B10" s="562"/>
      <c r="C10" s="548" t="s">
        <v>265</v>
      </c>
      <c r="D10" s="564"/>
      <c r="E10" s="565"/>
      <c r="F10" s="551"/>
      <c r="G10" s="552"/>
      <c r="H10" s="552">
        <f>H9</f>
        <v>5481</v>
      </c>
      <c r="I10" s="552">
        <f>H10+I9</f>
        <v>9157</v>
      </c>
      <c r="J10" s="552">
        <f t="shared" ref="J10:P10" si="6">I10+J9</f>
        <v>12782</v>
      </c>
      <c r="K10" s="552">
        <f t="shared" si="6"/>
        <v>16426</v>
      </c>
      <c r="L10" s="552">
        <f t="shared" si="6"/>
        <v>22184</v>
      </c>
      <c r="M10" s="552">
        <f t="shared" si="6"/>
        <v>27712</v>
      </c>
      <c r="N10" s="552">
        <f t="shared" si="6"/>
        <v>34455</v>
      </c>
      <c r="O10" s="552">
        <f t="shared" si="6"/>
        <v>38012</v>
      </c>
      <c r="P10" s="552">
        <f t="shared" si="6"/>
        <v>38012</v>
      </c>
      <c r="Q10" s="552">
        <f t="shared" ref="Q10:R14" si="7">P10</f>
        <v>38012</v>
      </c>
      <c r="R10" s="552">
        <f t="shared" si="7"/>
        <v>38012</v>
      </c>
      <c r="S10" s="553">
        <f>P10</f>
        <v>38012</v>
      </c>
      <c r="T10" s="554"/>
      <c r="U10" s="554"/>
      <c r="V10" s="554"/>
      <c r="W10" s="560"/>
      <c r="X10" s="556"/>
      <c r="Y10" s="567"/>
      <c r="Z10" s="558"/>
      <c r="AA10" s="526"/>
    </row>
    <row r="11" spans="1:28" ht="25.5" customHeight="1" x14ac:dyDescent="0.25">
      <c r="A11" s="562" t="s">
        <v>389</v>
      </c>
      <c r="B11" s="568">
        <v>0.4</v>
      </c>
      <c r="C11" s="548" t="s">
        <v>265</v>
      </c>
      <c r="D11" s="549"/>
      <c r="E11" s="565"/>
      <c r="F11" s="551"/>
      <c r="G11" s="552"/>
      <c r="H11" s="552">
        <f>$B$11*H10</f>
        <v>2192.4</v>
      </c>
      <c r="I11" s="552">
        <f t="shared" ref="I11:P11" si="8">$B$11*I10</f>
        <v>3662.8</v>
      </c>
      <c r="J11" s="552">
        <f t="shared" si="8"/>
        <v>5112.8</v>
      </c>
      <c r="K11" s="552">
        <f t="shared" si="8"/>
        <v>6570.4000000000005</v>
      </c>
      <c r="L11" s="552">
        <f t="shared" si="8"/>
        <v>8873.6</v>
      </c>
      <c r="M11" s="552">
        <f t="shared" si="8"/>
        <v>11084.800000000001</v>
      </c>
      <c r="N11" s="552">
        <f t="shared" si="8"/>
        <v>13782</v>
      </c>
      <c r="O11" s="552">
        <f t="shared" si="8"/>
        <v>15204.800000000001</v>
      </c>
      <c r="P11" s="552">
        <f t="shared" si="8"/>
        <v>15204.800000000001</v>
      </c>
      <c r="Q11" s="552">
        <f t="shared" si="7"/>
        <v>15204.800000000001</v>
      </c>
      <c r="R11" s="552">
        <f t="shared" si="7"/>
        <v>15204.800000000001</v>
      </c>
      <c r="S11" s="553">
        <f>P11</f>
        <v>15204.800000000001</v>
      </c>
      <c r="T11" s="554"/>
      <c r="U11" s="554"/>
      <c r="V11" s="554"/>
      <c r="W11" s="569"/>
      <c r="X11" s="556"/>
      <c r="Y11" s="557"/>
      <c r="Z11" s="558" t="s">
        <v>390</v>
      </c>
    </row>
    <row r="12" spans="1:28" ht="31.5" customHeight="1" x14ac:dyDescent="0.25">
      <c r="A12" s="562" t="s">
        <v>391</v>
      </c>
      <c r="B12" s="570">
        <v>238957</v>
      </c>
      <c r="C12" s="548" t="s">
        <v>265</v>
      </c>
      <c r="D12" s="571">
        <f>B12-D9</f>
        <v>238957</v>
      </c>
      <c r="E12" s="572">
        <f>D12-E9</f>
        <v>238957</v>
      </c>
      <c r="F12" s="573">
        <f t="shared" ref="F12:P12" si="9">E12-F9</f>
        <v>238957</v>
      </c>
      <c r="G12" s="574">
        <f t="shared" si="9"/>
        <v>231174</v>
      </c>
      <c r="H12" s="574">
        <f t="shared" si="9"/>
        <v>225693</v>
      </c>
      <c r="I12" s="574">
        <f t="shared" si="9"/>
        <v>222017</v>
      </c>
      <c r="J12" s="575">
        <f t="shared" si="9"/>
        <v>218392</v>
      </c>
      <c r="K12" s="574">
        <f t="shared" si="9"/>
        <v>214748</v>
      </c>
      <c r="L12" s="574">
        <f t="shared" si="9"/>
        <v>208990</v>
      </c>
      <c r="M12" s="574">
        <f t="shared" si="9"/>
        <v>203462</v>
      </c>
      <c r="N12" s="574">
        <f t="shared" si="9"/>
        <v>196719</v>
      </c>
      <c r="O12" s="574">
        <f t="shared" si="9"/>
        <v>193162</v>
      </c>
      <c r="P12" s="574">
        <f t="shared" si="9"/>
        <v>193162</v>
      </c>
      <c r="Q12" s="574">
        <f t="shared" si="7"/>
        <v>193162</v>
      </c>
      <c r="R12" s="574">
        <f t="shared" si="7"/>
        <v>193162</v>
      </c>
      <c r="S12" s="553">
        <f>P12</f>
        <v>193162</v>
      </c>
      <c r="T12" s="554"/>
      <c r="U12" s="554"/>
      <c r="V12" s="554"/>
      <c r="W12" s="560">
        <f>B12</f>
        <v>238957</v>
      </c>
      <c r="X12" s="556" t="str">
        <f>C12</f>
        <v>m2</v>
      </c>
      <c r="Y12" s="557" t="s">
        <v>392</v>
      </c>
      <c r="Z12" s="558" t="s">
        <v>393</v>
      </c>
    </row>
    <row r="13" spans="1:28" ht="24.75" customHeight="1" x14ac:dyDescent="0.25">
      <c r="A13" s="577" t="s">
        <v>394</v>
      </c>
      <c r="B13" s="578"/>
      <c r="C13" s="579"/>
      <c r="D13" s="580">
        <f>0.51*0.6</f>
        <v>0.30599999999999999</v>
      </c>
      <c r="E13" s="581">
        <f t="shared" ref="E13:V14" si="10">D13</f>
        <v>0.30599999999999999</v>
      </c>
      <c r="F13" s="582">
        <f t="shared" si="10"/>
        <v>0.30599999999999999</v>
      </c>
      <c r="G13" s="583">
        <f t="shared" si="10"/>
        <v>0.30599999999999999</v>
      </c>
      <c r="H13" s="583">
        <f t="shared" si="10"/>
        <v>0.30599999999999999</v>
      </c>
      <c r="I13" s="583">
        <f t="shared" si="10"/>
        <v>0.30599999999999999</v>
      </c>
      <c r="J13" s="584">
        <f t="shared" si="10"/>
        <v>0.30599999999999999</v>
      </c>
      <c r="K13" s="583">
        <f t="shared" si="10"/>
        <v>0.30599999999999999</v>
      </c>
      <c r="L13" s="583">
        <f t="shared" si="10"/>
        <v>0.30599999999999999</v>
      </c>
      <c r="M13" s="583">
        <f t="shared" si="10"/>
        <v>0.30599999999999999</v>
      </c>
      <c r="N13" s="583">
        <f t="shared" si="10"/>
        <v>0.30599999999999999</v>
      </c>
      <c r="O13" s="583">
        <f t="shared" si="10"/>
        <v>0.30599999999999999</v>
      </c>
      <c r="P13" s="583">
        <f t="shared" si="10"/>
        <v>0.30599999999999999</v>
      </c>
      <c r="Q13" s="583">
        <f t="shared" si="7"/>
        <v>0.30599999999999999</v>
      </c>
      <c r="R13" s="583">
        <f t="shared" si="7"/>
        <v>0.30599999999999999</v>
      </c>
      <c r="S13" s="585"/>
      <c r="T13" s="554"/>
      <c r="U13" s="554">
        <f t="shared" si="10"/>
        <v>0</v>
      </c>
      <c r="V13" s="554">
        <f t="shared" si="10"/>
        <v>0</v>
      </c>
      <c r="W13" s="586"/>
      <c r="X13" s="554"/>
      <c r="Y13" s="587"/>
      <c r="Z13" s="588"/>
    </row>
    <row r="14" spans="1:28" ht="30" customHeight="1" x14ac:dyDescent="0.25">
      <c r="A14" s="562" t="s">
        <v>363</v>
      </c>
      <c r="B14" s="589">
        <v>1.095E-2</v>
      </c>
      <c r="C14" s="548" t="s">
        <v>395</v>
      </c>
      <c r="D14" s="590">
        <f>B14</f>
        <v>1.095E-2</v>
      </c>
      <c r="E14" s="591">
        <f t="shared" si="10"/>
        <v>1.095E-2</v>
      </c>
      <c r="F14" s="592">
        <f t="shared" si="10"/>
        <v>1.095E-2</v>
      </c>
      <c r="G14" s="593">
        <f t="shared" si="10"/>
        <v>1.095E-2</v>
      </c>
      <c r="H14" s="593">
        <f t="shared" si="10"/>
        <v>1.095E-2</v>
      </c>
      <c r="I14" s="593">
        <f t="shared" si="10"/>
        <v>1.095E-2</v>
      </c>
      <c r="J14" s="593">
        <f t="shared" si="10"/>
        <v>1.095E-2</v>
      </c>
      <c r="K14" s="593">
        <f t="shared" si="10"/>
        <v>1.095E-2</v>
      </c>
      <c r="L14" s="593">
        <f t="shared" si="10"/>
        <v>1.095E-2</v>
      </c>
      <c r="M14" s="593">
        <f t="shared" si="10"/>
        <v>1.095E-2</v>
      </c>
      <c r="N14" s="593">
        <f t="shared" si="10"/>
        <v>1.095E-2</v>
      </c>
      <c r="O14" s="593">
        <f t="shared" si="10"/>
        <v>1.095E-2</v>
      </c>
      <c r="P14" s="593">
        <f t="shared" si="10"/>
        <v>1.095E-2</v>
      </c>
      <c r="Q14" s="593">
        <f t="shared" si="7"/>
        <v>1.095E-2</v>
      </c>
      <c r="R14" s="593">
        <f t="shared" si="7"/>
        <v>1.095E-2</v>
      </c>
      <c r="S14" s="576"/>
      <c r="T14" s="554"/>
      <c r="U14" s="554"/>
      <c r="V14" s="554"/>
      <c r="W14" s="594">
        <f>B14</f>
        <v>1.095E-2</v>
      </c>
      <c r="X14" s="556" t="str">
        <f>C14</f>
        <v>EUR/m2</v>
      </c>
      <c r="Y14" s="557" t="s">
        <v>396</v>
      </c>
      <c r="Z14" s="558" t="s">
        <v>397</v>
      </c>
    </row>
    <row r="16" spans="1:28" x14ac:dyDescent="0.25">
      <c r="L16" s="526"/>
    </row>
    <row r="17" spans="1:14" x14ac:dyDescent="0.25">
      <c r="N17" s="526"/>
    </row>
    <row r="21" spans="1:14" ht="14.5" x14ac:dyDescent="0.35">
      <c r="B21" s="595"/>
      <c r="C21" s="595"/>
      <c r="D21" s="595"/>
    </row>
    <row r="22" spans="1:14" ht="14.5" x14ac:dyDescent="0.35">
      <c r="A22" s="595"/>
      <c r="B22" s="595"/>
      <c r="C22" s="595"/>
      <c r="D22" s="595"/>
    </row>
    <row r="23" spans="1:14" ht="14.5" x14ac:dyDescent="0.35">
      <c r="A23" s="595"/>
      <c r="B23" s="596"/>
      <c r="C23" s="595"/>
      <c r="D23" s="595"/>
    </row>
    <row r="24" spans="1:14" ht="14.5" x14ac:dyDescent="0.35">
      <c r="A24" s="597" t="s">
        <v>398</v>
      </c>
      <c r="B24" s="598" t="s">
        <v>265</v>
      </c>
      <c r="C24" s="595"/>
      <c r="D24" s="595"/>
    </row>
    <row r="25" spans="1:14" ht="14.5" x14ac:dyDescent="0.35">
      <c r="A25" s="599">
        <v>5</v>
      </c>
      <c r="B25" s="600">
        <v>7783</v>
      </c>
      <c r="C25" s="595"/>
      <c r="D25" s="595"/>
    </row>
    <row r="26" spans="1:14" ht="14.5" x14ac:dyDescent="0.35">
      <c r="A26" s="599">
        <v>6</v>
      </c>
      <c r="B26" s="600">
        <v>5481</v>
      </c>
      <c r="C26" s="595"/>
      <c r="D26" s="595"/>
    </row>
    <row r="27" spans="1:14" ht="14.5" x14ac:dyDescent="0.35">
      <c r="A27" s="599">
        <v>7</v>
      </c>
      <c r="B27" s="600">
        <v>5758</v>
      </c>
      <c r="C27" s="595"/>
      <c r="D27" s="595"/>
    </row>
    <row r="28" spans="1:14" ht="14.5" x14ac:dyDescent="0.35">
      <c r="A28" s="599">
        <v>8</v>
      </c>
      <c r="B28" s="600">
        <v>5528</v>
      </c>
      <c r="C28" s="595"/>
      <c r="D28" s="595"/>
    </row>
    <row r="29" spans="1:14" ht="14.5" x14ac:dyDescent="0.35">
      <c r="A29" s="599">
        <v>9</v>
      </c>
      <c r="B29" s="600">
        <v>3557</v>
      </c>
      <c r="C29" s="595"/>
      <c r="D29" s="595"/>
    </row>
    <row r="30" spans="1:14" ht="14.5" x14ac:dyDescent="0.35">
      <c r="A30" s="599">
        <v>10</v>
      </c>
      <c r="B30" s="600">
        <v>3625</v>
      </c>
      <c r="C30" s="595"/>
      <c r="D30" s="595"/>
    </row>
    <row r="31" spans="1:14" ht="14.5" x14ac:dyDescent="0.35">
      <c r="A31" s="599">
        <v>11</v>
      </c>
      <c r="B31" s="600">
        <v>3676</v>
      </c>
      <c r="C31" s="595"/>
      <c r="D31" s="595"/>
    </row>
    <row r="32" spans="1:14" ht="14.5" x14ac:dyDescent="0.35">
      <c r="A32" s="599">
        <v>12</v>
      </c>
      <c r="B32" s="600">
        <v>3644</v>
      </c>
      <c r="C32" s="595"/>
      <c r="D32" s="595"/>
    </row>
    <row r="33" spans="1:4" ht="14.5" x14ac:dyDescent="0.35">
      <c r="A33" s="599">
        <v>13</v>
      </c>
      <c r="B33" s="600">
        <v>6743</v>
      </c>
      <c r="C33" s="595"/>
      <c r="D33" s="595"/>
    </row>
    <row r="34" spans="1:4" ht="14.5" x14ac:dyDescent="0.35">
      <c r="A34" s="601"/>
      <c r="B34" s="600">
        <f>SUM(B23:B33)</f>
        <v>45795</v>
      </c>
      <c r="C34" s="595"/>
      <c r="D34" s="596"/>
    </row>
  </sheetData>
  <mergeCells count="4">
    <mergeCell ref="D1:F1"/>
    <mergeCell ref="G1:P1"/>
    <mergeCell ref="D2:F2"/>
    <mergeCell ref="W3:Y3"/>
  </mergeCells>
  <pageMargins left="0" right="0" top="0.98425196850393704" bottom="0.98425196850393704" header="0.51181102362204722" footer="0.51181102362204722"/>
  <pageSetup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95E5-8E9E-4652-A8E1-99E6AFCC2828}">
  <sheetPr>
    <tabColor rgb="FFE4F1FC"/>
  </sheetPr>
  <dimension ref="A1:Y24"/>
  <sheetViews>
    <sheetView showGridLines="0" workbookViewId="0">
      <pane xSplit="1" ySplit="4" topLeftCell="B5" activePane="bottomRight" state="frozen"/>
      <selection activeCell="A3" sqref="A3"/>
      <selection pane="topRight"/>
      <selection pane="bottomLeft"/>
      <selection pane="bottomRight" activeCell="B15" sqref="B15"/>
    </sheetView>
  </sheetViews>
  <sheetFormatPr defaultColWidth="9.1796875" defaultRowHeight="14.5" x14ac:dyDescent="0.35"/>
  <cols>
    <col min="1" max="1" width="26.1796875" style="622" customWidth="1"/>
    <col min="2" max="3" width="9.1796875" style="611"/>
    <col min="4" max="16384" width="9.1796875" style="612"/>
  </cols>
  <sheetData>
    <row r="1" spans="1:25" ht="32.25" customHeight="1" x14ac:dyDescent="0.35">
      <c r="A1" s="610" t="s">
        <v>403</v>
      </c>
    </row>
    <row r="2" spans="1:25" ht="32.25" customHeight="1" x14ac:dyDescent="0.35">
      <c r="A2" s="613" t="s">
        <v>404</v>
      </c>
      <c r="J2" s="614" t="s">
        <v>405</v>
      </c>
    </row>
    <row r="3" spans="1:25" ht="32.25" customHeight="1" x14ac:dyDescent="0.35">
      <c r="A3" s="615" t="s">
        <v>406</v>
      </c>
      <c r="J3" s="614"/>
    </row>
    <row r="4" spans="1:25" s="618" customFormat="1" ht="21" customHeight="1" x14ac:dyDescent="0.35">
      <c r="A4" s="616"/>
      <c r="B4" s="617">
        <f>[1]Esileht!B10</f>
        <v>2023</v>
      </c>
      <c r="C4" s="617">
        <f>B4+1</f>
        <v>2024</v>
      </c>
      <c r="D4" s="617">
        <f t="shared" ref="D4:Y4" si="0">C4+1</f>
        <v>2025</v>
      </c>
      <c r="E4" s="617">
        <f t="shared" si="0"/>
        <v>2026</v>
      </c>
      <c r="F4" s="617">
        <f t="shared" si="0"/>
        <v>2027</v>
      </c>
      <c r="G4" s="617">
        <f t="shared" si="0"/>
        <v>2028</v>
      </c>
      <c r="H4" s="617">
        <f t="shared" si="0"/>
        <v>2029</v>
      </c>
      <c r="I4" s="617">
        <f t="shared" si="0"/>
        <v>2030</v>
      </c>
      <c r="J4" s="617">
        <f t="shared" si="0"/>
        <v>2031</v>
      </c>
      <c r="K4" s="617">
        <f t="shared" si="0"/>
        <v>2032</v>
      </c>
      <c r="L4" s="617">
        <f t="shared" si="0"/>
        <v>2033</v>
      </c>
      <c r="M4" s="617">
        <f t="shared" si="0"/>
        <v>2034</v>
      </c>
      <c r="N4" s="617">
        <f t="shared" si="0"/>
        <v>2035</v>
      </c>
      <c r="O4" s="617">
        <f t="shared" si="0"/>
        <v>2036</v>
      </c>
      <c r="P4" s="617">
        <f t="shared" si="0"/>
        <v>2037</v>
      </c>
      <c r="Q4" s="617">
        <f t="shared" si="0"/>
        <v>2038</v>
      </c>
      <c r="R4" s="617">
        <f t="shared" si="0"/>
        <v>2039</v>
      </c>
      <c r="S4" s="617">
        <f t="shared" si="0"/>
        <v>2040</v>
      </c>
      <c r="T4" s="617">
        <f t="shared" si="0"/>
        <v>2041</v>
      </c>
      <c r="U4" s="617">
        <f t="shared" si="0"/>
        <v>2042</v>
      </c>
      <c r="V4" s="617">
        <f t="shared" si="0"/>
        <v>2043</v>
      </c>
      <c r="W4" s="617">
        <f t="shared" si="0"/>
        <v>2044</v>
      </c>
      <c r="X4" s="617">
        <f t="shared" si="0"/>
        <v>2045</v>
      </c>
      <c r="Y4" s="617">
        <f t="shared" si="0"/>
        <v>2046</v>
      </c>
    </row>
    <row r="5" spans="1:25" x14ac:dyDescent="0.35">
      <c r="A5" s="619" t="s">
        <v>407</v>
      </c>
      <c r="B5" s="620">
        <v>9.5600000000000004E-2</v>
      </c>
      <c r="C5" s="620">
        <v>4.6300000000000001E-2</v>
      </c>
      <c r="D5" s="620">
        <v>2.4899999999999999E-2</v>
      </c>
      <c r="E5" s="620">
        <v>1.7399999999999999E-2</v>
      </c>
      <c r="F5" s="620">
        <v>1.9099999999999999E-2</v>
      </c>
      <c r="G5" s="620">
        <v>0.02</v>
      </c>
      <c r="H5" s="620">
        <v>0.02</v>
      </c>
      <c r="I5" s="620">
        <v>0.02</v>
      </c>
      <c r="J5" s="620">
        <v>0.02</v>
      </c>
      <c r="K5" s="620">
        <v>0.02</v>
      </c>
      <c r="L5" s="620">
        <v>0.02</v>
      </c>
      <c r="M5" s="620">
        <v>0.02</v>
      </c>
      <c r="N5" s="620">
        <v>0.02</v>
      </c>
      <c r="O5" s="620">
        <v>0.02</v>
      </c>
      <c r="P5" s="620">
        <v>0.02</v>
      </c>
      <c r="Q5" s="620">
        <v>0.02</v>
      </c>
      <c r="R5" s="620">
        <v>0.02</v>
      </c>
      <c r="S5" s="620">
        <v>0.02</v>
      </c>
      <c r="T5" s="620">
        <v>0.02</v>
      </c>
      <c r="U5" s="620">
        <v>0.02</v>
      </c>
      <c r="V5" s="620">
        <v>0.02</v>
      </c>
      <c r="W5" s="620">
        <v>0.02</v>
      </c>
      <c r="X5" s="620">
        <v>0.02</v>
      </c>
      <c r="Y5" s="620">
        <v>0.02</v>
      </c>
    </row>
    <row r="6" spans="1:25" x14ac:dyDescent="0.35">
      <c r="A6" s="621" t="s">
        <v>408</v>
      </c>
      <c r="B6" s="620">
        <v>0.11171588541666688</v>
      </c>
      <c r="C6" s="620">
        <v>6.6340000000000066E-2</v>
      </c>
      <c r="D6" s="620">
        <v>5.3000000000000158E-2</v>
      </c>
      <c r="E6" s="620">
        <v>4.8499999999999988E-2</v>
      </c>
      <c r="F6" s="620">
        <v>4.4999999999999929E-2</v>
      </c>
      <c r="G6" s="620">
        <v>4.2357434384764581E-2</v>
      </c>
      <c r="H6" s="620">
        <v>4.2227057825253489E-2</v>
      </c>
      <c r="I6" s="620">
        <v>4.2097441551872672E-2</v>
      </c>
      <c r="J6" s="620">
        <v>4.1968581131041294E-2</v>
      </c>
      <c r="K6" s="620">
        <v>4.1840472155032726E-2</v>
      </c>
      <c r="L6" s="620">
        <v>4.1713110241824669E-2</v>
      </c>
      <c r="M6" s="620">
        <v>4.1586491034947048E-2</v>
      </c>
      <c r="N6" s="620">
        <v>4.146061020333569E-2</v>
      </c>
      <c r="O6" s="620">
        <v>4.1335463441181775E-2</v>
      </c>
      <c r="P6" s="620">
        <v>4.1211046467786394E-2</v>
      </c>
      <c r="Q6" s="620">
        <v>4.1087355027413341E-2</v>
      </c>
      <c r="R6" s="620">
        <v>4.0964384889143002E-2</v>
      </c>
      <c r="S6" s="620">
        <v>4.0842131846728913E-2</v>
      </c>
      <c r="T6" s="620">
        <v>4.0842131846728913E-2</v>
      </c>
      <c r="U6" s="620">
        <v>4.0821522856646197E-2</v>
      </c>
      <c r="V6" s="620">
        <v>4.0681780551673929E-2</v>
      </c>
      <c r="W6" s="620">
        <v>4.0546301813437768E-2</v>
      </c>
      <c r="X6" s="620">
        <v>4.0401435863696156E-2</v>
      </c>
      <c r="Y6" s="620">
        <v>4.0264946826274128E-2</v>
      </c>
    </row>
    <row r="7" spans="1:25" x14ac:dyDescent="0.35">
      <c r="A7" s="612"/>
      <c r="B7" s="612"/>
      <c r="C7" s="612"/>
    </row>
    <row r="8" spans="1:25" x14ac:dyDescent="0.35">
      <c r="A8" s="622" t="s">
        <v>72</v>
      </c>
      <c r="B8" s="623">
        <v>0.04</v>
      </c>
    </row>
    <row r="9" spans="1:25" ht="21.75" customHeight="1" x14ac:dyDescent="0.35">
      <c r="A9" s="622" t="s">
        <v>409</v>
      </c>
      <c r="B9" s="624">
        <f>AVERAGE(B5:Y5)</f>
        <v>2.4304166666666679E-2</v>
      </c>
      <c r="C9" s="625"/>
    </row>
    <row r="10" spans="1:25" ht="21.75" customHeight="1" x14ac:dyDescent="0.35">
      <c r="A10" s="622" t="s">
        <v>410</v>
      </c>
      <c r="B10" s="623">
        <f>(1+B8)*(1+B9)-1</f>
        <v>6.527633333333327E-2</v>
      </c>
    </row>
    <row r="11" spans="1:25" ht="21.75" customHeight="1" x14ac:dyDescent="0.35">
      <c r="A11" s="626"/>
    </row>
    <row r="12" spans="1:25" ht="21.75" customHeight="1" x14ac:dyDescent="0.35">
      <c r="A12" s="626"/>
    </row>
    <row r="13" spans="1:25" ht="21.75" customHeight="1" x14ac:dyDescent="0.35">
      <c r="A13" s="626"/>
    </row>
    <row r="14" spans="1:25" ht="32.25" customHeight="1" x14ac:dyDescent="0.35">
      <c r="A14" s="627"/>
    </row>
    <row r="15" spans="1:25" ht="21.75" customHeight="1" x14ac:dyDescent="0.35">
      <c r="A15" s="626"/>
      <c r="B15" s="635">
        <v>1</v>
      </c>
    </row>
    <row r="16" spans="1:25" ht="21.75" customHeight="1" x14ac:dyDescent="0.35">
      <c r="A16" s="626"/>
    </row>
    <row r="17" spans="1:25" x14ac:dyDescent="0.35">
      <c r="A17" s="619" t="s">
        <v>407</v>
      </c>
      <c r="B17" s="628"/>
      <c r="C17" s="629">
        <f>IF($B$15=1,C23,C20)</f>
        <v>1</v>
      </c>
      <c r="D17" s="629">
        <f t="shared" ref="D17:Y17" si="1">IF($B$15=1,D23,D20)</f>
        <v>1</v>
      </c>
      <c r="E17" s="629">
        <f t="shared" si="1"/>
        <v>1</v>
      </c>
      <c r="F17" s="629">
        <f t="shared" si="1"/>
        <v>1</v>
      </c>
      <c r="G17" s="629">
        <f t="shared" si="1"/>
        <v>1</v>
      </c>
      <c r="H17" s="629">
        <f t="shared" si="1"/>
        <v>1</v>
      </c>
      <c r="I17" s="629">
        <f t="shared" si="1"/>
        <v>1</v>
      </c>
      <c r="J17" s="629">
        <f t="shared" si="1"/>
        <v>1</v>
      </c>
      <c r="K17" s="629">
        <f t="shared" si="1"/>
        <v>1</v>
      </c>
      <c r="L17" s="629">
        <f t="shared" si="1"/>
        <v>1</v>
      </c>
      <c r="M17" s="629">
        <f t="shared" si="1"/>
        <v>1</v>
      </c>
      <c r="N17" s="629">
        <f t="shared" si="1"/>
        <v>1</v>
      </c>
      <c r="O17" s="629">
        <f t="shared" si="1"/>
        <v>1</v>
      </c>
      <c r="P17" s="629">
        <f t="shared" si="1"/>
        <v>1</v>
      </c>
      <c r="Q17" s="629">
        <f t="shared" si="1"/>
        <v>1</v>
      </c>
      <c r="R17" s="629">
        <f t="shared" si="1"/>
        <v>1</v>
      </c>
      <c r="S17" s="629">
        <f t="shared" si="1"/>
        <v>1</v>
      </c>
      <c r="T17" s="629">
        <f t="shared" si="1"/>
        <v>1</v>
      </c>
      <c r="U17" s="629">
        <f t="shared" si="1"/>
        <v>1</v>
      </c>
      <c r="V17" s="629">
        <f t="shared" si="1"/>
        <v>1</v>
      </c>
      <c r="W17" s="629">
        <f t="shared" si="1"/>
        <v>1</v>
      </c>
      <c r="X17" s="629">
        <f t="shared" si="1"/>
        <v>1</v>
      </c>
      <c r="Y17" s="629">
        <f t="shared" si="1"/>
        <v>1</v>
      </c>
    </row>
    <row r="18" spans="1:25" x14ac:dyDescent="0.35">
      <c r="A18" s="621" t="s">
        <v>408</v>
      </c>
      <c r="B18" s="628"/>
      <c r="C18" s="629">
        <f>IF($B$15=1,C24,C21)</f>
        <v>1</v>
      </c>
      <c r="D18" s="629">
        <f t="shared" ref="D18:Y18" si="2">IF($B$15=1,D24,D21)</f>
        <v>1</v>
      </c>
      <c r="E18" s="629">
        <f t="shared" si="2"/>
        <v>1</v>
      </c>
      <c r="F18" s="629">
        <f t="shared" si="2"/>
        <v>1</v>
      </c>
      <c r="G18" s="629">
        <f t="shared" si="2"/>
        <v>1</v>
      </c>
      <c r="H18" s="629">
        <f t="shared" si="2"/>
        <v>1</v>
      </c>
      <c r="I18" s="629">
        <f t="shared" si="2"/>
        <v>1</v>
      </c>
      <c r="J18" s="629">
        <f t="shared" si="2"/>
        <v>1</v>
      </c>
      <c r="K18" s="629">
        <f t="shared" si="2"/>
        <v>1</v>
      </c>
      <c r="L18" s="629">
        <f t="shared" si="2"/>
        <v>1</v>
      </c>
      <c r="M18" s="629">
        <f t="shared" si="2"/>
        <v>1</v>
      </c>
      <c r="N18" s="629">
        <f t="shared" si="2"/>
        <v>1</v>
      </c>
      <c r="O18" s="629">
        <f t="shared" si="2"/>
        <v>1</v>
      </c>
      <c r="P18" s="629">
        <f t="shared" si="2"/>
        <v>1</v>
      </c>
      <c r="Q18" s="629">
        <f t="shared" si="2"/>
        <v>1</v>
      </c>
      <c r="R18" s="629">
        <f t="shared" si="2"/>
        <v>1</v>
      </c>
      <c r="S18" s="629">
        <f t="shared" si="2"/>
        <v>1</v>
      </c>
      <c r="T18" s="629">
        <f t="shared" si="2"/>
        <v>1</v>
      </c>
      <c r="U18" s="629">
        <f t="shared" si="2"/>
        <v>1</v>
      </c>
      <c r="V18" s="629">
        <f t="shared" si="2"/>
        <v>1</v>
      </c>
      <c r="W18" s="629">
        <f t="shared" si="2"/>
        <v>1</v>
      </c>
      <c r="X18" s="629">
        <f t="shared" si="2"/>
        <v>1</v>
      </c>
      <c r="Y18" s="629">
        <f t="shared" si="2"/>
        <v>1</v>
      </c>
    </row>
    <row r="20" spans="1:25" x14ac:dyDescent="0.35">
      <c r="C20" s="629">
        <f>1+C5</f>
        <v>1.0463</v>
      </c>
      <c r="D20" s="630">
        <f>C20*(1+D5)</f>
        <v>1.07235287</v>
      </c>
      <c r="E20" s="630">
        <f t="shared" ref="E20:Y20" si="3">D20*(1+E5)</f>
        <v>1.0910118099380002</v>
      </c>
      <c r="F20" s="630">
        <f t="shared" si="3"/>
        <v>1.1118501355078159</v>
      </c>
      <c r="G20" s="630">
        <f t="shared" si="3"/>
        <v>1.1340871382179722</v>
      </c>
      <c r="H20" s="630">
        <f t="shared" si="3"/>
        <v>1.1567688809823318</v>
      </c>
      <c r="I20" s="630">
        <f t="shared" si="3"/>
        <v>1.1799042586019783</v>
      </c>
      <c r="J20" s="630">
        <f t="shared" si="3"/>
        <v>1.203502343774018</v>
      </c>
      <c r="K20" s="630">
        <f t="shared" si="3"/>
        <v>1.2275723906494984</v>
      </c>
      <c r="L20" s="630">
        <f t="shared" si="3"/>
        <v>1.2521238384624884</v>
      </c>
      <c r="M20" s="630">
        <f t="shared" si="3"/>
        <v>1.2771663152317383</v>
      </c>
      <c r="N20" s="630">
        <f t="shared" si="3"/>
        <v>1.302709641536373</v>
      </c>
      <c r="O20" s="630">
        <f t="shared" si="3"/>
        <v>1.3287638343671004</v>
      </c>
      <c r="P20" s="630">
        <f t="shared" si="3"/>
        <v>1.3553391110544424</v>
      </c>
      <c r="Q20" s="630">
        <f t="shared" si="3"/>
        <v>1.3824458932755312</v>
      </c>
      <c r="R20" s="630">
        <f t="shared" si="3"/>
        <v>1.4100948111410418</v>
      </c>
      <c r="S20" s="630">
        <f t="shared" si="3"/>
        <v>1.4382967073638626</v>
      </c>
      <c r="T20" s="630">
        <f t="shared" si="3"/>
        <v>1.4670626415111399</v>
      </c>
      <c r="U20" s="630">
        <f t="shared" si="3"/>
        <v>1.4964038943413627</v>
      </c>
      <c r="V20" s="630">
        <f t="shared" si="3"/>
        <v>1.5263319722281901</v>
      </c>
      <c r="W20" s="630">
        <f t="shared" si="3"/>
        <v>1.5568586116727539</v>
      </c>
      <c r="X20" s="630">
        <f t="shared" si="3"/>
        <v>1.5879957839062089</v>
      </c>
      <c r="Y20" s="630">
        <f t="shared" si="3"/>
        <v>1.6197556995843332</v>
      </c>
    </row>
    <row r="21" spans="1:25" x14ac:dyDescent="0.35">
      <c r="C21" s="629">
        <f>1+C6</f>
        <v>1.0663400000000001</v>
      </c>
      <c r="D21" s="630">
        <f>C21*(1+D6)</f>
        <v>1.1228560200000002</v>
      </c>
      <c r="E21" s="630">
        <f t="shared" ref="E21:Y21" si="4">D21*(1+E6)</f>
        <v>1.1773145369700002</v>
      </c>
      <c r="F21" s="630">
        <f t="shared" si="4"/>
        <v>1.2302936911336502</v>
      </c>
      <c r="G21" s="630">
        <f t="shared" si="4"/>
        <v>1.2824057754298335</v>
      </c>
      <c r="H21" s="630">
        <f t="shared" si="4"/>
        <v>1.3365579982643481</v>
      </c>
      <c r="I21" s="630">
        <f t="shared" si="4"/>
        <v>1.3928236704769694</v>
      </c>
      <c r="J21" s="630">
        <f t="shared" si="4"/>
        <v>1.4512785036926168</v>
      </c>
      <c r="K21" s="630">
        <f t="shared" si="4"/>
        <v>1.5120006815155653</v>
      </c>
      <c r="L21" s="630">
        <f t="shared" si="4"/>
        <v>1.5750709326293382</v>
      </c>
      <c r="M21" s="630">
        <f t="shared" si="4"/>
        <v>1.6405726058485339</v>
      </c>
      <c r="N21" s="630">
        <f t="shared" si="4"/>
        <v>1.7085917471698906</v>
      </c>
      <c r="O21" s="630">
        <f t="shared" si="4"/>
        <v>1.7792171788709366</v>
      </c>
      <c r="P21" s="630">
        <f t="shared" si="4"/>
        <v>1.8525405807056705</v>
      </c>
      <c r="Q21" s="630">
        <f t="shared" si="4"/>
        <v>1.9286565732478149</v>
      </c>
      <c r="R21" s="630">
        <f t="shared" si="4"/>
        <v>2.0076628034333139</v>
      </c>
      <c r="S21" s="630">
        <f t="shared" si="4"/>
        <v>2.0896600323549106</v>
      </c>
      <c r="T21" s="630">
        <f t="shared" si="4"/>
        <v>2.1750062029111898</v>
      </c>
      <c r="U21" s="630">
        <f t="shared" si="4"/>
        <v>2.2637932683366762</v>
      </c>
      <c r="V21" s="630">
        <f t="shared" si="4"/>
        <v>2.3558884092935055</v>
      </c>
      <c r="W21" s="630">
        <f t="shared" si="4"/>
        <v>2.4514109717754997</v>
      </c>
      <c r="X21" s="630">
        <f t="shared" si="4"/>
        <v>2.5504514949272488</v>
      </c>
      <c r="Y21" s="630">
        <f t="shared" si="4"/>
        <v>2.6531452887534859</v>
      </c>
    </row>
    <row r="23" spans="1:25" x14ac:dyDescent="0.35">
      <c r="C23" s="611">
        <v>1</v>
      </c>
      <c r="D23" s="611">
        <v>1</v>
      </c>
      <c r="E23" s="611">
        <v>1</v>
      </c>
      <c r="F23" s="611">
        <v>1</v>
      </c>
      <c r="G23" s="611">
        <v>1</v>
      </c>
      <c r="H23" s="611">
        <v>1</v>
      </c>
      <c r="I23" s="611">
        <v>1</v>
      </c>
      <c r="J23" s="611">
        <v>1</v>
      </c>
      <c r="K23" s="611">
        <v>1</v>
      </c>
      <c r="L23" s="611">
        <v>1</v>
      </c>
      <c r="M23" s="611">
        <v>1</v>
      </c>
      <c r="N23" s="611">
        <v>1</v>
      </c>
      <c r="O23" s="611">
        <v>1</v>
      </c>
      <c r="P23" s="611">
        <v>1</v>
      </c>
      <c r="Q23" s="611">
        <v>1</v>
      </c>
      <c r="R23" s="611">
        <v>1</v>
      </c>
      <c r="S23" s="611">
        <v>1</v>
      </c>
      <c r="T23" s="611">
        <v>1</v>
      </c>
      <c r="U23" s="611">
        <v>1</v>
      </c>
      <c r="V23" s="611">
        <v>1</v>
      </c>
      <c r="W23" s="611">
        <v>1</v>
      </c>
      <c r="X23" s="611">
        <v>1</v>
      </c>
      <c r="Y23" s="611">
        <v>1</v>
      </c>
    </row>
    <row r="24" spans="1:25" x14ac:dyDescent="0.35">
      <c r="C24" s="611">
        <v>1</v>
      </c>
      <c r="D24" s="611">
        <v>1</v>
      </c>
      <c r="E24" s="611">
        <v>1</v>
      </c>
      <c r="F24" s="611">
        <v>1</v>
      </c>
      <c r="G24" s="611">
        <v>1</v>
      </c>
      <c r="H24" s="611">
        <v>1</v>
      </c>
      <c r="I24" s="611">
        <v>1</v>
      </c>
      <c r="J24" s="611">
        <v>1</v>
      </c>
      <c r="K24" s="611">
        <v>1</v>
      </c>
      <c r="L24" s="611">
        <v>1</v>
      </c>
      <c r="M24" s="611">
        <v>1</v>
      </c>
      <c r="N24" s="611">
        <v>1</v>
      </c>
      <c r="O24" s="611">
        <v>1</v>
      </c>
      <c r="P24" s="611">
        <v>1</v>
      </c>
      <c r="Q24" s="611">
        <v>1</v>
      </c>
      <c r="R24" s="611">
        <v>1</v>
      </c>
      <c r="S24" s="611">
        <v>1</v>
      </c>
      <c r="T24" s="611">
        <v>1</v>
      </c>
      <c r="U24" s="611">
        <v>1</v>
      </c>
      <c r="V24" s="611">
        <v>1</v>
      </c>
      <c r="W24" s="611">
        <v>1</v>
      </c>
      <c r="X24" s="611">
        <v>1</v>
      </c>
      <c r="Y24" s="611">
        <v>1</v>
      </c>
    </row>
  </sheetData>
  <hyperlinks>
    <hyperlink ref="J2" r:id="rId1" xr:uid="{AE28C64C-FDE7-4945-953E-8DC29256EFC2}"/>
  </hyperlinks>
  <pageMargins left="0.7" right="0.7" top="0.75" bottom="0.75" header="0.3" footer="0.3"/>
  <pageSetup paperSize="9" firstPageNumber="4294967295" orientation="portrait"/>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2:AH92"/>
  <sheetViews>
    <sheetView workbookViewId="0">
      <pane xSplit="4" ySplit="3" topLeftCell="Q4" activePane="bottomRight" state="frozen"/>
      <selection pane="topRight" activeCell="E1" sqref="E1"/>
      <selection pane="bottomLeft" activeCell="A4" sqref="A4"/>
      <selection pane="bottomRight" activeCell="T34" sqref="T34"/>
    </sheetView>
  </sheetViews>
  <sheetFormatPr defaultColWidth="9.1796875" defaultRowHeight="14" x14ac:dyDescent="0.3"/>
  <cols>
    <col min="1" max="1" width="32.81640625" style="363" customWidth="1"/>
    <col min="2" max="2" width="12.453125" style="363" customWidth="1"/>
    <col min="3" max="3" width="12.54296875" style="363" hidden="1" customWidth="1"/>
    <col min="4" max="4" width="14.26953125" style="364" bestFit="1" customWidth="1"/>
    <col min="5" max="5" width="8.26953125" style="363" customWidth="1"/>
    <col min="6" max="6" width="7.54296875" style="363" customWidth="1"/>
    <col min="7" max="7" width="8" style="363" customWidth="1"/>
    <col min="8" max="11" width="7.54296875" style="363" customWidth="1"/>
    <col min="12" max="12" width="7.7265625" style="363" customWidth="1"/>
    <col min="13" max="19" width="7.54296875" style="363" customWidth="1"/>
    <col min="20" max="20" width="10.1796875" style="363" customWidth="1"/>
    <col min="21" max="21" width="9.1796875" style="368"/>
    <col min="22" max="22" width="9.1796875" style="368" hidden="1" customWidth="1"/>
    <col min="23" max="23" width="10.453125" style="368" hidden="1" customWidth="1"/>
    <col min="24" max="24" width="10" style="368" hidden="1" customWidth="1"/>
    <col min="25" max="25" width="10.7265625" style="368" hidden="1" customWidth="1"/>
    <col min="26" max="16384" width="9.1796875" style="368"/>
  </cols>
  <sheetData>
    <row r="2" spans="1:34" x14ac:dyDescent="0.3">
      <c r="G2" s="365">
        <v>1</v>
      </c>
      <c r="H2" s="366">
        <v>2</v>
      </c>
      <c r="I2" s="366">
        <v>3</v>
      </c>
      <c r="J2" s="366">
        <v>4</v>
      </c>
      <c r="K2" s="366">
        <v>5</v>
      </c>
      <c r="L2" s="366">
        <v>6</v>
      </c>
      <c r="M2" s="366">
        <v>7</v>
      </c>
      <c r="N2" s="366">
        <v>8</v>
      </c>
      <c r="O2" s="366">
        <v>9</v>
      </c>
      <c r="P2" s="366">
        <v>10</v>
      </c>
      <c r="Q2" s="366">
        <v>11</v>
      </c>
      <c r="R2" s="366">
        <v>12</v>
      </c>
      <c r="S2" s="366">
        <v>13</v>
      </c>
      <c r="T2" s="367"/>
      <c r="V2" s="755" t="s">
        <v>245</v>
      </c>
      <c r="W2" s="755"/>
      <c r="X2" s="755"/>
      <c r="Y2" s="755"/>
    </row>
    <row r="3" spans="1:34" ht="30" customHeight="1" x14ac:dyDescent="0.3">
      <c r="A3" s="423"/>
      <c r="B3" s="756" t="s">
        <v>317</v>
      </c>
      <c r="C3" s="757"/>
      <c r="D3" s="493" t="s">
        <v>2</v>
      </c>
      <c r="E3" s="423">
        <f>'2. Tulud-kulud projektiga'!D3</f>
        <v>2024</v>
      </c>
      <c r="F3" s="423">
        <f>'2. Tulud-kulud projektiga'!E3</f>
        <v>2025</v>
      </c>
      <c r="G3" s="423">
        <f>'2. Tulud-kulud projektiga'!F3</f>
        <v>2026</v>
      </c>
      <c r="H3" s="370">
        <f>'2. Tulud-kulud projektiga'!G3</f>
        <v>2027</v>
      </c>
      <c r="I3" s="370">
        <f>'2. Tulud-kulud projektiga'!H3</f>
        <v>2028</v>
      </c>
      <c r="J3" s="370">
        <f>'2. Tulud-kulud projektiga'!I3</f>
        <v>2029</v>
      </c>
      <c r="K3" s="370">
        <f>'2. Tulud-kulud projektiga'!J3</f>
        <v>2030</v>
      </c>
      <c r="L3" s="370">
        <f>'2. Tulud-kulud projektiga'!K3</f>
        <v>2031</v>
      </c>
      <c r="M3" s="370">
        <f>'2. Tulud-kulud projektiga'!L3</f>
        <v>2032</v>
      </c>
      <c r="N3" s="370">
        <f>'2. Tulud-kulud projektiga'!M3</f>
        <v>2033</v>
      </c>
      <c r="O3" s="370">
        <f>'2. Tulud-kulud projektiga'!N3</f>
        <v>2034</v>
      </c>
      <c r="P3" s="370">
        <f>'2. Tulud-kulud projektiga'!O3</f>
        <v>2035</v>
      </c>
      <c r="Q3" s="370">
        <f>'2. Tulud-kulud projektiga'!P3</f>
        <v>2036</v>
      </c>
      <c r="R3" s="370">
        <f>'2. Tulud-kulud projektiga'!Q3</f>
        <v>2037</v>
      </c>
      <c r="S3" s="370">
        <f>'2. Tulud-kulud projektiga'!R3</f>
        <v>2038</v>
      </c>
      <c r="T3" s="371" t="s">
        <v>286</v>
      </c>
      <c r="U3" s="363"/>
      <c r="V3" s="370" t="s">
        <v>246</v>
      </c>
      <c r="W3" s="372" t="s">
        <v>247</v>
      </c>
      <c r="X3" s="370" t="s">
        <v>248</v>
      </c>
      <c r="Y3" s="370" t="s">
        <v>266</v>
      </c>
      <c r="Z3" s="363"/>
      <c r="AA3" s="363"/>
      <c r="AB3" s="363"/>
      <c r="AC3" s="363"/>
      <c r="AD3" s="363"/>
      <c r="AE3" s="363"/>
      <c r="AF3" s="363"/>
      <c r="AG3" s="363"/>
      <c r="AH3" s="363"/>
    </row>
    <row r="4" spans="1:34" x14ac:dyDescent="0.3">
      <c r="A4" s="500" t="s">
        <v>323</v>
      </c>
      <c r="B4" s="424"/>
      <c r="C4" s="424"/>
      <c r="D4" s="425"/>
      <c r="E4" s="426"/>
      <c r="F4" s="426"/>
      <c r="G4" s="426"/>
      <c r="H4" s="367"/>
      <c r="I4" s="367"/>
      <c r="J4" s="367"/>
      <c r="K4" s="367"/>
      <c r="L4" s="367"/>
      <c r="M4" s="367"/>
      <c r="N4" s="367"/>
      <c r="O4" s="367"/>
      <c r="P4" s="367"/>
      <c r="Q4" s="367"/>
      <c r="R4" s="367"/>
      <c r="S4" s="367"/>
      <c r="T4" s="373"/>
      <c r="U4" s="363"/>
      <c r="V4" s="367"/>
      <c r="W4" s="367"/>
      <c r="X4" s="367"/>
      <c r="Y4" s="367"/>
      <c r="Z4" s="363"/>
      <c r="AA4" s="363"/>
      <c r="AB4" s="363"/>
      <c r="AC4" s="363"/>
      <c r="AD4" s="363"/>
      <c r="AE4" s="363"/>
      <c r="AF4" s="363"/>
      <c r="AG4" s="363"/>
      <c r="AH4" s="363"/>
    </row>
    <row r="5" spans="1:34" x14ac:dyDescent="0.3">
      <c r="A5" s="424"/>
      <c r="B5" s="424"/>
      <c r="C5" s="424"/>
      <c r="D5" s="425"/>
      <c r="E5" s="426"/>
      <c r="F5" s="426"/>
      <c r="G5" s="426"/>
      <c r="H5" s="367"/>
      <c r="I5" s="367"/>
      <c r="J5" s="367"/>
      <c r="K5" s="367"/>
      <c r="L5" s="367"/>
      <c r="M5" s="367"/>
      <c r="N5" s="367"/>
      <c r="O5" s="367"/>
      <c r="P5" s="367"/>
      <c r="Q5" s="367"/>
      <c r="R5" s="367"/>
      <c r="S5" s="367"/>
      <c r="T5" s="373"/>
      <c r="U5" s="363"/>
      <c r="V5" s="367"/>
      <c r="W5" s="367"/>
      <c r="X5" s="367"/>
      <c r="Y5" s="367"/>
      <c r="Z5" s="363"/>
      <c r="AA5" s="363"/>
      <c r="AB5" s="363"/>
      <c r="AC5" s="363"/>
      <c r="AD5" s="363"/>
      <c r="AE5" s="363"/>
      <c r="AF5" s="363"/>
      <c r="AG5" s="363"/>
      <c r="AH5" s="363"/>
    </row>
    <row r="6" spans="1:34" x14ac:dyDescent="0.3">
      <c r="A6" s="427" t="s">
        <v>324</v>
      </c>
      <c r="B6" s="424"/>
      <c r="C6" s="424"/>
      <c r="D6" s="425"/>
      <c r="E6" s="426"/>
      <c r="F6" s="426"/>
      <c r="G6" s="494">
        <f>G10</f>
        <v>0</v>
      </c>
      <c r="H6" s="494">
        <f t="shared" ref="H6:I6" si="0">H10</f>
        <v>0</v>
      </c>
      <c r="I6" s="494">
        <f t="shared" si="0"/>
        <v>0</v>
      </c>
      <c r="J6" s="631">
        <f>Eeldused_müük!H5</f>
        <v>1</v>
      </c>
      <c r="K6" s="631">
        <f>Eeldused_müük!I5</f>
        <v>2</v>
      </c>
      <c r="L6" s="631">
        <f>Eeldused_müük!J5</f>
        <v>3</v>
      </c>
      <c r="M6" s="631">
        <f>Eeldused_müük!K5</f>
        <v>4</v>
      </c>
      <c r="N6" s="631">
        <f>Eeldused_müük!L5</f>
        <v>5</v>
      </c>
      <c r="O6" s="631">
        <f>Eeldused_müük!M5</f>
        <v>6</v>
      </c>
      <c r="P6" s="631">
        <f>Eeldused_müük!N5</f>
        <v>7</v>
      </c>
      <c r="Q6" s="631">
        <f>Eeldused_müük!O5</f>
        <v>8</v>
      </c>
      <c r="R6" s="631">
        <f>Eeldused_müük!P5</f>
        <v>9</v>
      </c>
      <c r="S6" s="631">
        <f>Eeldused_müük!S5</f>
        <v>9</v>
      </c>
      <c r="T6" s="495">
        <f>S6</f>
        <v>9</v>
      </c>
      <c r="U6" s="363"/>
      <c r="V6" s="375">
        <f>I6</f>
        <v>0</v>
      </c>
      <c r="W6" s="375">
        <f>K6</f>
        <v>2</v>
      </c>
      <c r="X6" s="375">
        <f>P6</f>
        <v>7</v>
      </c>
      <c r="Y6" s="375">
        <f>S6</f>
        <v>9</v>
      </c>
      <c r="Z6" s="363"/>
      <c r="AA6" s="363"/>
      <c r="AB6" s="363"/>
      <c r="AC6" s="363"/>
      <c r="AD6" s="363"/>
      <c r="AE6" s="363"/>
      <c r="AF6" s="363"/>
      <c r="AG6" s="363"/>
      <c r="AH6" s="363"/>
    </row>
    <row r="7" spans="1:34" hidden="1" x14ac:dyDescent="0.3">
      <c r="A7" s="473"/>
      <c r="B7" s="426"/>
      <c r="C7" s="426"/>
      <c r="D7" s="425"/>
      <c r="E7" s="428"/>
      <c r="F7" s="429"/>
      <c r="G7" s="429"/>
      <c r="H7" s="429"/>
      <c r="I7" s="429"/>
      <c r="J7" s="429"/>
      <c r="K7" s="429"/>
      <c r="L7" s="429"/>
      <c r="M7" s="429"/>
      <c r="N7" s="429"/>
      <c r="O7" s="429"/>
      <c r="P7" s="429"/>
      <c r="Q7" s="429"/>
      <c r="R7" s="429"/>
      <c r="S7" s="429"/>
      <c r="T7" s="374">
        <f>SUM(G7:S7)</f>
        <v>0</v>
      </c>
      <c r="U7" s="363"/>
      <c r="V7" s="375"/>
      <c r="W7" s="375"/>
      <c r="X7" s="375"/>
      <c r="Y7" s="375"/>
      <c r="Z7" s="363"/>
      <c r="AA7" s="363"/>
      <c r="AB7" s="363"/>
      <c r="AC7" s="363"/>
      <c r="AD7" s="363"/>
      <c r="AE7" s="363"/>
      <c r="AF7" s="363"/>
      <c r="AG7" s="363"/>
      <c r="AH7" s="363"/>
    </row>
    <row r="8" spans="1:34" hidden="1" x14ac:dyDescent="0.3">
      <c r="A8" s="473"/>
      <c r="B8" s="434"/>
      <c r="C8" s="426"/>
      <c r="D8" s="425"/>
      <c r="E8" s="428"/>
      <c r="F8" s="429"/>
      <c r="G8" s="481"/>
      <c r="H8" s="480"/>
      <c r="I8" s="480"/>
      <c r="J8" s="480"/>
      <c r="K8" s="480"/>
      <c r="L8" s="480"/>
      <c r="M8" s="480"/>
      <c r="N8" s="480"/>
      <c r="O8" s="480"/>
      <c r="P8" s="480"/>
      <c r="Q8" s="480"/>
      <c r="R8" s="480"/>
      <c r="S8" s="480"/>
      <c r="T8" s="367"/>
      <c r="U8" s="363"/>
      <c r="V8" s="375"/>
      <c r="W8" s="375"/>
      <c r="X8" s="375"/>
      <c r="Y8" s="375"/>
      <c r="Z8" s="363"/>
      <c r="AA8" s="363"/>
      <c r="AB8" s="363"/>
      <c r="AC8" s="363"/>
      <c r="AD8" s="363"/>
      <c r="AE8" s="363"/>
      <c r="AF8" s="363"/>
      <c r="AG8" s="363"/>
      <c r="AH8" s="363"/>
    </row>
    <row r="9" spans="1:34" hidden="1" x14ac:dyDescent="0.3">
      <c r="A9" s="473"/>
      <c r="B9" s="434"/>
      <c r="C9" s="426"/>
      <c r="D9" s="425"/>
      <c r="E9" s="428"/>
      <c r="F9" s="429"/>
      <c r="G9" s="435"/>
      <c r="H9" s="435"/>
      <c r="I9" s="435"/>
      <c r="J9" s="435"/>
      <c r="K9" s="435"/>
      <c r="L9" s="435"/>
      <c r="M9" s="435"/>
      <c r="N9" s="435"/>
      <c r="O9" s="435"/>
      <c r="P9" s="435"/>
      <c r="Q9" s="435"/>
      <c r="R9" s="435"/>
      <c r="S9" s="428"/>
      <c r="T9" s="375">
        <f>SUM(G9:S9)</f>
        <v>0</v>
      </c>
      <c r="U9" s="363"/>
      <c r="V9" s="375"/>
      <c r="W9" s="375"/>
      <c r="X9" s="375"/>
      <c r="Y9" s="375"/>
      <c r="Z9" s="363"/>
      <c r="AA9" s="363"/>
      <c r="AB9" s="363"/>
      <c r="AC9" s="363"/>
      <c r="AD9" s="363"/>
      <c r="AE9" s="363"/>
      <c r="AF9" s="363"/>
      <c r="AG9" s="363"/>
      <c r="AH9" s="363"/>
    </row>
    <row r="10" spans="1:34" hidden="1" x14ac:dyDescent="0.3">
      <c r="A10" s="496"/>
      <c r="B10" s="426"/>
      <c r="C10" s="426"/>
      <c r="D10" s="425"/>
      <c r="E10" s="428"/>
      <c r="F10" s="428"/>
      <c r="G10" s="479"/>
      <c r="H10" s="479"/>
      <c r="I10" s="479"/>
      <c r="J10" s="479"/>
      <c r="K10" s="479"/>
      <c r="L10" s="479"/>
      <c r="M10" s="479"/>
      <c r="N10" s="479"/>
      <c r="O10" s="479"/>
      <c r="P10" s="479"/>
      <c r="Q10" s="479"/>
      <c r="R10" s="479"/>
      <c r="S10" s="479"/>
      <c r="T10" s="375">
        <f>S10</f>
        <v>0</v>
      </c>
      <c r="U10" s="363"/>
      <c r="V10" s="375">
        <f>I10</f>
        <v>0</v>
      </c>
      <c r="W10" s="375">
        <f>K10</f>
        <v>0</v>
      </c>
      <c r="X10" s="375">
        <f>P10</f>
        <v>0</v>
      </c>
      <c r="Y10" s="375">
        <f>S10</f>
        <v>0</v>
      </c>
      <c r="Z10" s="363"/>
      <c r="AA10" s="363"/>
      <c r="AB10" s="363"/>
      <c r="AC10" s="363"/>
      <c r="AD10" s="363"/>
      <c r="AE10" s="363"/>
      <c r="AF10" s="363"/>
      <c r="AG10" s="363"/>
      <c r="AH10" s="363"/>
    </row>
    <row r="11" spans="1:34" hidden="1" x14ac:dyDescent="0.3">
      <c r="A11" s="473" t="s">
        <v>267</v>
      </c>
      <c r="B11" s="426"/>
      <c r="C11" s="426"/>
      <c r="D11" s="425"/>
      <c r="E11" s="428"/>
      <c r="F11" s="428"/>
      <c r="G11" s="479"/>
      <c r="H11" s="479"/>
      <c r="I11" s="479"/>
      <c r="J11" s="479"/>
      <c r="K11" s="479"/>
      <c r="L11" s="479"/>
      <c r="M11" s="479"/>
      <c r="N11" s="479"/>
      <c r="O11" s="479"/>
      <c r="P11" s="479"/>
      <c r="Q11" s="479"/>
      <c r="R11" s="479"/>
      <c r="S11" s="479"/>
      <c r="T11" s="375"/>
      <c r="U11" s="363"/>
      <c r="V11" s="375"/>
      <c r="W11" s="375"/>
      <c r="X11" s="375"/>
      <c r="Y11" s="375"/>
      <c r="Z11" s="363"/>
      <c r="AA11" s="363"/>
      <c r="AB11" s="363"/>
      <c r="AC11" s="363"/>
      <c r="AD11" s="363"/>
      <c r="AE11" s="363"/>
      <c r="AF11" s="363"/>
      <c r="AG11" s="363"/>
      <c r="AH11" s="363"/>
    </row>
    <row r="12" spans="1:34" hidden="1" x14ac:dyDescent="0.3">
      <c r="A12" s="473" t="s">
        <v>268</v>
      </c>
      <c r="B12" s="426"/>
      <c r="C12" s="426"/>
      <c r="D12" s="425"/>
      <c r="E12" s="428"/>
      <c r="F12" s="428"/>
      <c r="G12" s="479">
        <f>G9</f>
        <v>0</v>
      </c>
      <c r="H12" s="479">
        <f>G9+H9</f>
        <v>0</v>
      </c>
      <c r="I12" s="479">
        <f t="shared" ref="I12:O12" si="1">G9+H9+I9</f>
        <v>0</v>
      </c>
      <c r="J12" s="479">
        <f t="shared" si="1"/>
        <v>0</v>
      </c>
      <c r="K12" s="479">
        <f t="shared" si="1"/>
        <v>0</v>
      </c>
      <c r="L12" s="479">
        <f t="shared" si="1"/>
        <v>0</v>
      </c>
      <c r="M12" s="479">
        <f t="shared" si="1"/>
        <v>0</v>
      </c>
      <c r="N12" s="479">
        <f t="shared" si="1"/>
        <v>0</v>
      </c>
      <c r="O12" s="479">
        <f t="shared" si="1"/>
        <v>0</v>
      </c>
      <c r="P12" s="479">
        <f>O9+P9</f>
        <v>0</v>
      </c>
      <c r="Q12" s="479">
        <f>O9+P9+Q9</f>
        <v>0</v>
      </c>
      <c r="R12" s="479">
        <f>P9+Q9+R9</f>
        <v>0</v>
      </c>
      <c r="S12" s="479">
        <f>Q9+R9+S9</f>
        <v>0</v>
      </c>
      <c r="T12" s="375"/>
      <c r="U12" s="363"/>
      <c r="V12" s="375">
        <f t="shared" ref="V12:V16" si="2">I12</f>
        <v>0</v>
      </c>
      <c r="W12" s="375">
        <f t="shared" ref="W12:W16" si="3">K12</f>
        <v>0</v>
      </c>
      <c r="X12" s="375">
        <f t="shared" ref="X12:X16" si="4">P12</f>
        <v>0</v>
      </c>
      <c r="Y12" s="375">
        <f t="shared" ref="Y12:Y16" si="5">S12</f>
        <v>0</v>
      </c>
      <c r="Z12" s="363"/>
      <c r="AA12" s="363"/>
      <c r="AB12" s="363"/>
      <c r="AC12" s="363"/>
      <c r="AD12" s="363"/>
      <c r="AE12" s="363"/>
      <c r="AF12" s="363"/>
      <c r="AG12" s="363"/>
      <c r="AH12" s="363"/>
    </row>
    <row r="13" spans="1:34" hidden="1" x14ac:dyDescent="0.3">
      <c r="A13" s="473" t="s">
        <v>269</v>
      </c>
      <c r="B13" s="426"/>
      <c r="C13" s="426"/>
      <c r="D13" s="425"/>
      <c r="E13" s="428"/>
      <c r="F13" s="428"/>
      <c r="G13" s="479"/>
      <c r="H13" s="479"/>
      <c r="I13" s="479"/>
      <c r="J13" s="479">
        <f>G9</f>
        <v>0</v>
      </c>
      <c r="K13" s="479">
        <f t="shared" ref="K13:S13" si="6">G9+H9</f>
        <v>0</v>
      </c>
      <c r="L13" s="479">
        <f t="shared" si="6"/>
        <v>0</v>
      </c>
      <c r="M13" s="479">
        <f t="shared" si="6"/>
        <v>0</v>
      </c>
      <c r="N13" s="479">
        <f t="shared" si="6"/>
        <v>0</v>
      </c>
      <c r="O13" s="479">
        <f t="shared" si="6"/>
        <v>0</v>
      </c>
      <c r="P13" s="479">
        <f t="shared" si="6"/>
        <v>0</v>
      </c>
      <c r="Q13" s="479">
        <f t="shared" si="6"/>
        <v>0</v>
      </c>
      <c r="R13" s="479">
        <f t="shared" si="6"/>
        <v>0</v>
      </c>
      <c r="S13" s="479">
        <f t="shared" si="6"/>
        <v>0</v>
      </c>
      <c r="T13" s="375"/>
      <c r="U13" s="363"/>
      <c r="V13" s="375">
        <f t="shared" si="2"/>
        <v>0</v>
      </c>
      <c r="W13" s="375">
        <f t="shared" si="3"/>
        <v>0</v>
      </c>
      <c r="X13" s="375">
        <f t="shared" si="4"/>
        <v>0</v>
      </c>
      <c r="Y13" s="375">
        <f t="shared" si="5"/>
        <v>0</v>
      </c>
      <c r="Z13" s="363"/>
      <c r="AA13" s="363"/>
      <c r="AB13" s="363"/>
      <c r="AC13" s="363"/>
      <c r="AD13" s="363"/>
      <c r="AE13" s="363"/>
      <c r="AF13" s="363"/>
      <c r="AG13" s="363"/>
      <c r="AH13" s="363"/>
    </row>
    <row r="14" spans="1:34" hidden="1" x14ac:dyDescent="0.3">
      <c r="A14" s="473" t="s">
        <v>270</v>
      </c>
      <c r="B14" s="426"/>
      <c r="C14" s="426"/>
      <c r="D14" s="425"/>
      <c r="E14" s="428"/>
      <c r="F14" s="428"/>
      <c r="G14" s="479"/>
      <c r="H14" s="479"/>
      <c r="I14" s="479"/>
      <c r="J14" s="479"/>
      <c r="K14" s="479"/>
      <c r="L14" s="479">
        <f>G9</f>
        <v>0</v>
      </c>
      <c r="M14" s="479">
        <f>G9+H9</f>
        <v>0</v>
      </c>
      <c r="N14" s="479">
        <f>G9+H9+I9</f>
        <v>0</v>
      </c>
      <c r="O14" s="479">
        <f>H9+I9+J9</f>
        <v>0</v>
      </c>
      <c r="P14" s="479">
        <f>I9+J9+K9</f>
        <v>0</v>
      </c>
      <c r="Q14" s="479">
        <f>J9+K9+L9</f>
        <v>0</v>
      </c>
      <c r="R14" s="479">
        <f>K9+L9+M9</f>
        <v>0</v>
      </c>
      <c r="S14" s="479">
        <f>M9+N9</f>
        <v>0</v>
      </c>
      <c r="T14" s="375"/>
      <c r="U14" s="363"/>
      <c r="V14" s="375">
        <f t="shared" si="2"/>
        <v>0</v>
      </c>
      <c r="W14" s="375">
        <f t="shared" si="3"/>
        <v>0</v>
      </c>
      <c r="X14" s="375">
        <f t="shared" si="4"/>
        <v>0</v>
      </c>
      <c r="Y14" s="375">
        <f t="shared" si="5"/>
        <v>0</v>
      </c>
      <c r="Z14" s="363"/>
      <c r="AA14" s="363"/>
      <c r="AB14" s="363"/>
      <c r="AC14" s="363"/>
      <c r="AD14" s="363"/>
      <c r="AE14" s="363"/>
      <c r="AF14" s="363"/>
      <c r="AG14" s="363"/>
      <c r="AH14" s="363"/>
    </row>
    <row r="15" spans="1:34" ht="16.5" hidden="1" customHeight="1" x14ac:dyDescent="0.3">
      <c r="A15" s="473" t="s">
        <v>271</v>
      </c>
      <c r="B15" s="426"/>
      <c r="C15" s="426"/>
      <c r="D15" s="425"/>
      <c r="E15" s="428"/>
      <c r="F15" s="428"/>
      <c r="G15" s="479"/>
      <c r="H15" s="479"/>
      <c r="I15" s="479"/>
      <c r="J15" s="479"/>
      <c r="K15" s="479"/>
      <c r="L15" s="479"/>
      <c r="M15" s="479"/>
      <c r="N15" s="479"/>
      <c r="O15" s="479">
        <f>G9</f>
        <v>0</v>
      </c>
      <c r="P15" s="479">
        <f>G9+H9</f>
        <v>0</v>
      </c>
      <c r="Q15" s="479">
        <f>H9+I9</f>
        <v>0</v>
      </c>
      <c r="R15" s="479">
        <f>I9+J9</f>
        <v>0</v>
      </c>
      <c r="S15" s="479">
        <f>J9+K9+L9</f>
        <v>0</v>
      </c>
      <c r="T15" s="375"/>
      <c r="U15" s="363"/>
      <c r="V15" s="375">
        <f t="shared" si="2"/>
        <v>0</v>
      </c>
      <c r="W15" s="375">
        <f t="shared" si="3"/>
        <v>0</v>
      </c>
      <c r="X15" s="375">
        <f t="shared" si="4"/>
        <v>0</v>
      </c>
      <c r="Y15" s="375">
        <f t="shared" si="5"/>
        <v>0</v>
      </c>
      <c r="Z15" s="363"/>
      <c r="AA15" s="363"/>
      <c r="AB15" s="363"/>
      <c r="AC15" s="363"/>
      <c r="AD15" s="363"/>
      <c r="AE15" s="363"/>
      <c r="AF15" s="363"/>
      <c r="AG15" s="363"/>
      <c r="AH15" s="363"/>
    </row>
    <row r="16" spans="1:34" ht="15" hidden="1" customHeight="1" x14ac:dyDescent="0.3">
      <c r="A16" s="473" t="s">
        <v>272</v>
      </c>
      <c r="B16" s="426"/>
      <c r="C16" s="426"/>
      <c r="D16" s="425"/>
      <c r="E16" s="428"/>
      <c r="F16" s="428"/>
      <c r="G16" s="479"/>
      <c r="H16" s="479"/>
      <c r="I16" s="479"/>
      <c r="J16" s="479"/>
      <c r="K16" s="479"/>
      <c r="L16" s="479"/>
      <c r="M16" s="479"/>
      <c r="N16" s="479"/>
      <c r="O16" s="479"/>
      <c r="P16" s="479"/>
      <c r="Q16" s="479">
        <f>G9</f>
        <v>0</v>
      </c>
      <c r="R16" s="479">
        <f>G9+H9</f>
        <v>0</v>
      </c>
      <c r="S16" s="479">
        <f>G9+H9+I9</f>
        <v>0</v>
      </c>
      <c r="T16" s="375"/>
      <c r="U16" s="363"/>
      <c r="V16" s="375">
        <f t="shared" si="2"/>
        <v>0</v>
      </c>
      <c r="W16" s="375">
        <f t="shared" si="3"/>
        <v>0</v>
      </c>
      <c r="X16" s="375">
        <f t="shared" si="4"/>
        <v>0</v>
      </c>
      <c r="Y16" s="375">
        <f t="shared" si="5"/>
        <v>0</v>
      </c>
      <c r="Z16" s="363"/>
      <c r="AA16" s="363"/>
      <c r="AB16" s="363"/>
      <c r="AC16" s="363"/>
      <c r="AD16" s="363"/>
      <c r="AE16" s="363"/>
      <c r="AF16" s="363"/>
      <c r="AG16" s="363"/>
      <c r="AH16" s="363"/>
    </row>
    <row r="17" spans="1:34" hidden="1" x14ac:dyDescent="0.3">
      <c r="A17" s="473"/>
      <c r="B17" s="426"/>
      <c r="C17" s="426"/>
      <c r="D17" s="425"/>
      <c r="E17" s="428"/>
      <c r="F17" s="428"/>
      <c r="G17" s="479"/>
      <c r="H17" s="479"/>
      <c r="I17" s="479"/>
      <c r="J17" s="479"/>
      <c r="K17" s="479"/>
      <c r="L17" s="479"/>
      <c r="M17" s="479"/>
      <c r="N17" s="479"/>
      <c r="O17" s="479"/>
      <c r="P17" s="479"/>
      <c r="Q17" s="479"/>
      <c r="R17" s="479"/>
      <c r="S17" s="479"/>
      <c r="T17" s="375"/>
      <c r="U17" s="363"/>
      <c r="V17" s="375"/>
      <c r="W17" s="375"/>
      <c r="X17" s="375"/>
      <c r="Y17" s="375"/>
      <c r="Z17" s="363"/>
      <c r="AA17" s="363"/>
      <c r="AB17" s="363"/>
      <c r="AC17" s="363"/>
      <c r="AD17" s="363"/>
      <c r="AE17" s="363"/>
      <c r="AF17" s="363"/>
      <c r="AG17" s="363"/>
      <c r="AH17" s="363"/>
    </row>
    <row r="18" spans="1:34" x14ac:dyDescent="0.3">
      <c r="A18" s="427" t="s">
        <v>309</v>
      </c>
      <c r="B18" s="632">
        <v>40.200000000000003</v>
      </c>
      <c r="C18" s="431"/>
      <c r="D18" s="425" t="s">
        <v>326</v>
      </c>
      <c r="E18" s="433"/>
      <c r="F18" s="433"/>
      <c r="G18" s="432">
        <f t="shared" ref="G18:J18" si="7">G21*$B$18*1000</f>
        <v>0</v>
      </c>
      <c r="H18" s="432">
        <f t="shared" si="7"/>
        <v>0</v>
      </c>
      <c r="I18" s="432">
        <f t="shared" si="7"/>
        <v>0</v>
      </c>
      <c r="J18" s="432">
        <f t="shared" si="7"/>
        <v>0</v>
      </c>
      <c r="K18" s="432">
        <f>K21*$B$18*1000</f>
        <v>2010000.0000000002</v>
      </c>
      <c r="L18" s="432">
        <f t="shared" ref="L18:S18" si="8">L21*$B$18*1000</f>
        <v>3015000</v>
      </c>
      <c r="M18" s="432">
        <f t="shared" si="8"/>
        <v>4020000.0000000005</v>
      </c>
      <c r="N18" s="432">
        <f t="shared" si="8"/>
        <v>5025000</v>
      </c>
      <c r="O18" s="432">
        <f t="shared" si="8"/>
        <v>6030000</v>
      </c>
      <c r="P18" s="432">
        <f t="shared" si="8"/>
        <v>7035000.0000000009</v>
      </c>
      <c r="Q18" s="432">
        <f t="shared" si="8"/>
        <v>8040000.0000000009</v>
      </c>
      <c r="R18" s="432">
        <f t="shared" si="8"/>
        <v>9045000</v>
      </c>
      <c r="S18" s="432">
        <f t="shared" si="8"/>
        <v>9045000</v>
      </c>
      <c r="T18" s="377">
        <f>SUM(E18:S18)</f>
        <v>53265000</v>
      </c>
      <c r="U18" s="363"/>
      <c r="V18" s="433">
        <f>I18</f>
        <v>0</v>
      </c>
      <c r="W18" s="433">
        <f>K18</f>
        <v>2010000.0000000002</v>
      </c>
      <c r="X18" s="433">
        <f>P18</f>
        <v>7035000.0000000009</v>
      </c>
      <c r="Y18" s="433">
        <f>S18</f>
        <v>9045000</v>
      </c>
      <c r="Z18" s="363"/>
      <c r="AA18" s="363"/>
      <c r="AB18" s="363"/>
      <c r="AC18" s="363"/>
      <c r="AD18" s="363"/>
      <c r="AE18" s="363"/>
      <c r="AF18" s="363"/>
      <c r="AG18" s="363"/>
      <c r="AH18" s="363"/>
    </row>
    <row r="19" spans="1:34" x14ac:dyDescent="0.3">
      <c r="A19" s="427" t="s">
        <v>310</v>
      </c>
      <c r="B19" s="434">
        <v>0.8</v>
      </c>
      <c r="C19" s="431"/>
      <c r="D19" s="425" t="s">
        <v>326</v>
      </c>
      <c r="E19" s="432"/>
      <c r="F19" s="432"/>
      <c r="G19" s="432">
        <f t="shared" ref="G19:J19" si="9">G18*$B$19</f>
        <v>0</v>
      </c>
      <c r="H19" s="432">
        <f t="shared" si="9"/>
        <v>0</v>
      </c>
      <c r="I19" s="432">
        <f t="shared" si="9"/>
        <v>0</v>
      </c>
      <c r="J19" s="432">
        <f t="shared" si="9"/>
        <v>0</v>
      </c>
      <c r="K19" s="432">
        <f>K18*$B$19</f>
        <v>1608000.0000000002</v>
      </c>
      <c r="L19" s="432">
        <f t="shared" ref="L19:S19" si="10">L18*$B$19</f>
        <v>2412000</v>
      </c>
      <c r="M19" s="432">
        <f t="shared" si="10"/>
        <v>3216000.0000000005</v>
      </c>
      <c r="N19" s="432">
        <f t="shared" si="10"/>
        <v>4020000</v>
      </c>
      <c r="O19" s="432">
        <f t="shared" si="10"/>
        <v>4824000</v>
      </c>
      <c r="P19" s="432">
        <f t="shared" si="10"/>
        <v>5628000.0000000009</v>
      </c>
      <c r="Q19" s="432">
        <f t="shared" si="10"/>
        <v>6432000.0000000009</v>
      </c>
      <c r="R19" s="432">
        <f t="shared" si="10"/>
        <v>7236000</v>
      </c>
      <c r="S19" s="432">
        <f t="shared" si="10"/>
        <v>7236000</v>
      </c>
      <c r="T19" s="377">
        <f>SUM(E19:S19)</f>
        <v>42612000</v>
      </c>
      <c r="U19" s="363"/>
      <c r="V19" s="377">
        <f>SUM($G19:I19)</f>
        <v>0</v>
      </c>
      <c r="W19" s="377">
        <f>SUM($G19:K19)</f>
        <v>1608000.0000000002</v>
      </c>
      <c r="X19" s="377">
        <f>SUM($G19:P19)</f>
        <v>21708000</v>
      </c>
      <c r="Y19" s="377">
        <f>SUM($G19:S19)</f>
        <v>42612000</v>
      </c>
      <c r="Z19" s="363"/>
      <c r="AA19" s="363"/>
      <c r="AB19" s="363"/>
      <c r="AC19" s="363"/>
      <c r="AD19" s="363"/>
      <c r="AE19" s="363"/>
      <c r="AF19" s="363"/>
      <c r="AG19" s="363"/>
      <c r="AH19" s="363"/>
    </row>
    <row r="20" spans="1:34" x14ac:dyDescent="0.3">
      <c r="A20" s="427" t="s">
        <v>308</v>
      </c>
      <c r="B20" s="430">
        <f>8.4*4</f>
        <v>33.6</v>
      </c>
      <c r="C20" s="431"/>
      <c r="D20" s="425" t="s">
        <v>326</v>
      </c>
      <c r="E20" s="432"/>
      <c r="F20" s="432"/>
      <c r="G20" s="437">
        <f t="shared" ref="G20:J20" si="11">G21*1000*$B$20</f>
        <v>0</v>
      </c>
      <c r="H20" s="437">
        <f t="shared" si="11"/>
        <v>0</v>
      </c>
      <c r="I20" s="437">
        <f t="shared" si="11"/>
        <v>0</v>
      </c>
      <c r="J20" s="437">
        <f t="shared" si="11"/>
        <v>0</v>
      </c>
      <c r="K20" s="437">
        <f>K21*1000*$B$20</f>
        <v>1680000</v>
      </c>
      <c r="L20" s="437">
        <f t="shared" ref="L20:S20" si="12">L21*1000*$B$20</f>
        <v>2520000</v>
      </c>
      <c r="M20" s="437">
        <f t="shared" si="12"/>
        <v>3360000</v>
      </c>
      <c r="N20" s="437">
        <f t="shared" si="12"/>
        <v>4200000</v>
      </c>
      <c r="O20" s="437">
        <f t="shared" si="12"/>
        <v>5040000</v>
      </c>
      <c r="P20" s="437">
        <f t="shared" si="12"/>
        <v>5880000</v>
      </c>
      <c r="Q20" s="437">
        <f t="shared" si="12"/>
        <v>6720000</v>
      </c>
      <c r="R20" s="437">
        <f t="shared" si="12"/>
        <v>7560000</v>
      </c>
      <c r="S20" s="437">
        <f t="shared" si="12"/>
        <v>7560000</v>
      </c>
      <c r="T20" s="377">
        <f>SUM(E20:S20)</f>
        <v>44520000</v>
      </c>
      <c r="U20" s="363"/>
      <c r="V20" s="377">
        <f>SUM($G20:I20)</f>
        <v>0</v>
      </c>
      <c r="W20" s="377">
        <f>SUM($G20:K20)</f>
        <v>1680000</v>
      </c>
      <c r="X20" s="377">
        <f>SUM($G20:P20)</f>
        <v>22680000</v>
      </c>
      <c r="Y20" s="377">
        <f>SUM($G20:S20)</f>
        <v>44520000</v>
      </c>
      <c r="Z20" s="363"/>
      <c r="AA20" s="363"/>
      <c r="AB20" s="363"/>
      <c r="AC20" s="363"/>
      <c r="AD20" s="363"/>
      <c r="AE20" s="363"/>
      <c r="AF20" s="363"/>
      <c r="AG20" s="363"/>
      <c r="AH20" s="363"/>
    </row>
    <row r="21" spans="1:34" x14ac:dyDescent="0.3">
      <c r="A21" s="442" t="s">
        <v>311</v>
      </c>
      <c r="B21" s="426"/>
      <c r="C21" s="426"/>
      <c r="D21" s="425" t="s">
        <v>327</v>
      </c>
      <c r="E21" s="430"/>
      <c r="F21" s="430"/>
      <c r="G21" s="430"/>
      <c r="H21" s="430"/>
      <c r="I21" s="430"/>
      <c r="J21" s="430"/>
      <c r="K21" s="430">
        <f>Eeldused_müük!I8</f>
        <v>50</v>
      </c>
      <c r="L21" s="430">
        <f>Eeldused_müük!J8</f>
        <v>75</v>
      </c>
      <c r="M21" s="430">
        <f>Eeldused_müük!K8</f>
        <v>100</v>
      </c>
      <c r="N21" s="430">
        <f>Eeldused_müük!L8</f>
        <v>125</v>
      </c>
      <c r="O21" s="430">
        <f>Eeldused_müük!M8</f>
        <v>150</v>
      </c>
      <c r="P21" s="430">
        <f>Eeldused_müük!N8</f>
        <v>175</v>
      </c>
      <c r="Q21" s="430">
        <f>Eeldused_müük!O8</f>
        <v>200</v>
      </c>
      <c r="R21" s="430">
        <f>Eeldused_müük!P8</f>
        <v>225</v>
      </c>
      <c r="S21" s="430">
        <f>Eeldused_müük!S8</f>
        <v>225</v>
      </c>
      <c r="T21" s="482">
        <f>S21</f>
        <v>225</v>
      </c>
      <c r="U21" s="363"/>
      <c r="V21" s="375">
        <f>I21</f>
        <v>0</v>
      </c>
      <c r="W21" s="375">
        <f>K21</f>
        <v>50</v>
      </c>
      <c r="X21" s="375">
        <f>P21</f>
        <v>175</v>
      </c>
      <c r="Y21" s="375">
        <f>S21</f>
        <v>225</v>
      </c>
      <c r="Z21" s="363"/>
      <c r="AA21" s="363"/>
      <c r="AB21" s="363"/>
      <c r="AC21" s="363"/>
      <c r="AD21" s="363"/>
      <c r="AE21" s="363"/>
      <c r="AF21" s="363"/>
      <c r="AG21" s="363"/>
      <c r="AH21" s="363"/>
    </row>
    <row r="22" spans="1:34" x14ac:dyDescent="0.3">
      <c r="A22" s="427" t="s">
        <v>312</v>
      </c>
      <c r="B22" s="435">
        <v>1894</v>
      </c>
      <c r="C22" s="431"/>
      <c r="D22" s="425" t="s">
        <v>326</v>
      </c>
      <c r="E22" s="432">
        <f t="shared" ref="E22:J22" si="13">E21*$B$22*12</f>
        <v>0</v>
      </c>
      <c r="F22" s="432">
        <f t="shared" si="13"/>
        <v>0</v>
      </c>
      <c r="G22" s="432">
        <f t="shared" si="13"/>
        <v>0</v>
      </c>
      <c r="H22" s="432">
        <f t="shared" si="13"/>
        <v>0</v>
      </c>
      <c r="I22" s="432">
        <f t="shared" si="13"/>
        <v>0</v>
      </c>
      <c r="J22" s="432">
        <f t="shared" si="13"/>
        <v>0</v>
      </c>
      <c r="K22" s="432">
        <f>K21*$B$22*12</f>
        <v>1136400</v>
      </c>
      <c r="L22" s="432">
        <f t="shared" ref="L22:S22" si="14">L21*$B$22*12</f>
        <v>1704600</v>
      </c>
      <c r="M22" s="432">
        <f t="shared" si="14"/>
        <v>2272800</v>
      </c>
      <c r="N22" s="432">
        <f t="shared" si="14"/>
        <v>2841000</v>
      </c>
      <c r="O22" s="432">
        <f t="shared" si="14"/>
        <v>3409200</v>
      </c>
      <c r="P22" s="432">
        <f t="shared" si="14"/>
        <v>3977400</v>
      </c>
      <c r="Q22" s="432">
        <f t="shared" si="14"/>
        <v>4545600</v>
      </c>
      <c r="R22" s="432">
        <f t="shared" si="14"/>
        <v>5113800</v>
      </c>
      <c r="S22" s="432">
        <f t="shared" si="14"/>
        <v>5113800</v>
      </c>
      <c r="T22" s="377">
        <f t="shared" ref="T22:T28" si="15">SUM(E22:S22)</f>
        <v>30114600</v>
      </c>
      <c r="U22" s="363"/>
      <c r="V22" s="377">
        <f>SUM($G22:I22)</f>
        <v>0</v>
      </c>
      <c r="W22" s="377">
        <f>SUM($G22:K22)</f>
        <v>1136400</v>
      </c>
      <c r="X22" s="377">
        <f>SUM($G22:P22)</f>
        <v>15341400</v>
      </c>
      <c r="Y22" s="377">
        <f>SUM($G22:S22)</f>
        <v>30114600</v>
      </c>
      <c r="Z22" s="363"/>
      <c r="AA22" s="363"/>
      <c r="AB22" s="363"/>
      <c r="AC22" s="363"/>
      <c r="AD22" s="363"/>
      <c r="AE22" s="363"/>
      <c r="AF22" s="363"/>
      <c r="AG22" s="363"/>
      <c r="AH22" s="363"/>
    </row>
    <row r="23" spans="1:34" x14ac:dyDescent="0.3">
      <c r="A23" s="427" t="s">
        <v>313</v>
      </c>
      <c r="B23" s="436">
        <v>0.33800000000000002</v>
      </c>
      <c r="C23" s="436"/>
      <c r="D23" s="425" t="s">
        <v>326</v>
      </c>
      <c r="E23" s="437">
        <v>0</v>
      </c>
      <c r="F23" s="437"/>
      <c r="G23" s="437">
        <f>$B$23*G22</f>
        <v>0</v>
      </c>
      <c r="H23" s="378">
        <f t="shared" ref="H23:S23" si="16">$B$23*H22</f>
        <v>0</v>
      </c>
      <c r="I23" s="378">
        <f t="shared" si="16"/>
        <v>0</v>
      </c>
      <c r="J23" s="378">
        <f t="shared" si="16"/>
        <v>0</v>
      </c>
      <c r="K23" s="378">
        <f t="shared" si="16"/>
        <v>384103.2</v>
      </c>
      <c r="L23" s="378">
        <f t="shared" si="16"/>
        <v>576154.80000000005</v>
      </c>
      <c r="M23" s="378">
        <f t="shared" si="16"/>
        <v>768206.4</v>
      </c>
      <c r="N23" s="378">
        <f t="shared" si="16"/>
        <v>960258.00000000012</v>
      </c>
      <c r="O23" s="378">
        <f t="shared" si="16"/>
        <v>1152309.6000000001</v>
      </c>
      <c r="P23" s="378">
        <f t="shared" si="16"/>
        <v>1344361.2000000002</v>
      </c>
      <c r="Q23" s="378">
        <f t="shared" si="16"/>
        <v>1536412.8</v>
      </c>
      <c r="R23" s="378">
        <f t="shared" si="16"/>
        <v>1728464.4000000001</v>
      </c>
      <c r="S23" s="378">
        <f t="shared" si="16"/>
        <v>1728464.4000000001</v>
      </c>
      <c r="T23" s="377">
        <f t="shared" si="15"/>
        <v>10178734.800000001</v>
      </c>
      <c r="U23" s="363"/>
      <c r="V23" s="377">
        <f>SUM($G23:I23)</f>
        <v>0</v>
      </c>
      <c r="W23" s="377">
        <f>SUM($G23:K23)</f>
        <v>384103.2</v>
      </c>
      <c r="X23" s="377">
        <f>SUM($G23:P23)</f>
        <v>5185393.2</v>
      </c>
      <c r="Y23" s="377">
        <f>SUM($G23:S23)</f>
        <v>10178734.800000001</v>
      </c>
      <c r="Z23" s="363"/>
      <c r="AA23" s="363"/>
      <c r="AB23" s="363"/>
      <c r="AC23" s="363"/>
      <c r="AD23" s="363"/>
      <c r="AE23" s="363"/>
      <c r="AF23" s="363"/>
      <c r="AG23" s="363"/>
      <c r="AH23" s="363"/>
    </row>
    <row r="24" spans="1:34" x14ac:dyDescent="0.3">
      <c r="A24" s="427" t="s">
        <v>314</v>
      </c>
      <c r="B24" s="434">
        <v>0.22</v>
      </c>
      <c r="C24" s="434"/>
      <c r="D24" s="425" t="s">
        <v>326</v>
      </c>
      <c r="E24" s="437"/>
      <c r="F24" s="378"/>
      <c r="G24" s="378"/>
      <c r="H24" s="378"/>
      <c r="I24" s="378"/>
      <c r="J24" s="378"/>
      <c r="K24" s="378">
        <f t="shared" ref="K24:S24" si="17">(K22/K21/12-K22*0.02/K21/12-500)*$B$24*12*K21</f>
        <v>179007.84</v>
      </c>
      <c r="L24" s="378">
        <f t="shared" si="17"/>
        <v>268511.76</v>
      </c>
      <c r="M24" s="378">
        <f t="shared" si="17"/>
        <v>358015.68</v>
      </c>
      <c r="N24" s="378">
        <f t="shared" si="17"/>
        <v>447519.6</v>
      </c>
      <c r="O24" s="378">
        <f t="shared" si="17"/>
        <v>537023.52</v>
      </c>
      <c r="P24" s="378">
        <f t="shared" si="17"/>
        <v>626527.43999999994</v>
      </c>
      <c r="Q24" s="378">
        <f t="shared" si="17"/>
        <v>716031.36</v>
      </c>
      <c r="R24" s="378">
        <f t="shared" si="17"/>
        <v>805535.27999999991</v>
      </c>
      <c r="S24" s="378">
        <f t="shared" si="17"/>
        <v>805535.27999999991</v>
      </c>
      <c r="T24" s="377">
        <f t="shared" si="15"/>
        <v>4743707.76</v>
      </c>
      <c r="U24" s="363"/>
      <c r="V24" s="377">
        <f>SUM($G24:I24)</f>
        <v>0</v>
      </c>
      <c r="W24" s="377">
        <f>SUM($G24:K24)</f>
        <v>179007.84</v>
      </c>
      <c r="X24" s="377">
        <f>SUM($G24:P24)</f>
        <v>2416605.84</v>
      </c>
      <c r="Y24" s="377">
        <f>SUM($G24:S24)</f>
        <v>4743707.76</v>
      </c>
      <c r="Z24" s="363"/>
      <c r="AA24" s="363"/>
      <c r="AB24" s="363"/>
      <c r="AC24" s="363"/>
      <c r="AD24" s="363"/>
      <c r="AE24" s="363"/>
      <c r="AF24" s="363"/>
      <c r="AG24" s="363"/>
      <c r="AH24" s="363"/>
    </row>
    <row r="25" spans="1:34" x14ac:dyDescent="0.3">
      <c r="A25" s="438" t="s">
        <v>315</v>
      </c>
      <c r="B25" s="438"/>
      <c r="C25" s="438"/>
      <c r="D25" s="425" t="s">
        <v>326</v>
      </c>
      <c r="E25" s="437">
        <f t="shared" ref="E25:S25" si="18">E24-E26</f>
        <v>0</v>
      </c>
      <c r="F25" s="437"/>
      <c r="G25" s="437"/>
      <c r="H25" s="378"/>
      <c r="I25" s="378"/>
      <c r="J25" s="378"/>
      <c r="K25" s="378">
        <f t="shared" si="18"/>
        <v>84865.989600000001</v>
      </c>
      <c r="L25" s="378">
        <f t="shared" si="18"/>
        <v>127298.98440000002</v>
      </c>
      <c r="M25" s="378">
        <f t="shared" si="18"/>
        <v>169731.9792</v>
      </c>
      <c r="N25" s="378">
        <f t="shared" si="18"/>
        <v>212164.97399999999</v>
      </c>
      <c r="O25" s="378">
        <f t="shared" si="18"/>
        <v>254597.96880000003</v>
      </c>
      <c r="P25" s="378">
        <f t="shared" si="18"/>
        <v>297030.96359999996</v>
      </c>
      <c r="Q25" s="378">
        <f t="shared" si="18"/>
        <v>339463.9584</v>
      </c>
      <c r="R25" s="378">
        <f t="shared" si="18"/>
        <v>381896.95319999993</v>
      </c>
      <c r="S25" s="378">
        <f t="shared" si="18"/>
        <v>381896.95319999993</v>
      </c>
      <c r="T25" s="377">
        <f t="shared" si="15"/>
        <v>2248948.7243999997</v>
      </c>
      <c r="U25" s="363"/>
      <c r="V25" s="377">
        <f>SUM($G25:I25)</f>
        <v>0</v>
      </c>
      <c r="W25" s="377">
        <f>SUM($G25:K25)</f>
        <v>84865.989600000001</v>
      </c>
      <c r="X25" s="377">
        <f>SUM($G25:P25)</f>
        <v>1145690.8596000001</v>
      </c>
      <c r="Y25" s="377">
        <f>SUM($G25:S25)</f>
        <v>2248948.7243999997</v>
      </c>
      <c r="Z25" s="363"/>
      <c r="AA25" s="363"/>
      <c r="AB25" s="363"/>
      <c r="AC25" s="363"/>
      <c r="AD25" s="363"/>
      <c r="AE25" s="363"/>
      <c r="AF25" s="363"/>
      <c r="AG25" s="363"/>
      <c r="AH25" s="363"/>
    </row>
    <row r="26" spans="1:34" x14ac:dyDescent="0.3">
      <c r="A26" s="438" t="s">
        <v>303</v>
      </c>
      <c r="B26" s="439">
        <v>0.1157</v>
      </c>
      <c r="C26" s="440"/>
      <c r="D26" s="425" t="s">
        <v>326</v>
      </c>
      <c r="E26" s="437">
        <f>E24*$B$26/20%</f>
        <v>0</v>
      </c>
      <c r="F26" s="437"/>
      <c r="G26" s="437"/>
      <c r="H26" s="378"/>
      <c r="I26" s="378"/>
      <c r="J26" s="378"/>
      <c r="K26" s="378">
        <f t="shared" ref="K26:S26" si="19">K24*$B$26/$B$24</f>
        <v>94141.850399999996</v>
      </c>
      <c r="L26" s="378">
        <f t="shared" si="19"/>
        <v>141212.77559999999</v>
      </c>
      <c r="M26" s="378">
        <f t="shared" si="19"/>
        <v>188283.70079999999</v>
      </c>
      <c r="N26" s="378">
        <f t="shared" si="19"/>
        <v>235354.62599999999</v>
      </c>
      <c r="O26" s="378">
        <f t="shared" si="19"/>
        <v>282425.55119999999</v>
      </c>
      <c r="P26" s="378">
        <f t="shared" si="19"/>
        <v>329496.47639999999</v>
      </c>
      <c r="Q26" s="378">
        <f t="shared" si="19"/>
        <v>376567.40159999998</v>
      </c>
      <c r="R26" s="378">
        <f t="shared" si="19"/>
        <v>423638.32679999998</v>
      </c>
      <c r="S26" s="378">
        <f t="shared" si="19"/>
        <v>423638.32679999998</v>
      </c>
      <c r="T26" s="377">
        <f t="shared" si="15"/>
        <v>2494759.0356000001</v>
      </c>
      <c r="U26" s="363"/>
      <c r="V26" s="377">
        <f>SUM($G26:I26)</f>
        <v>0</v>
      </c>
      <c r="W26" s="377">
        <f>SUM($G26:K26)</f>
        <v>94141.850399999996</v>
      </c>
      <c r="X26" s="377">
        <f>SUM($G26:P26)</f>
        <v>1270914.9804</v>
      </c>
      <c r="Y26" s="377">
        <f>SUM($G26:S26)</f>
        <v>2494759.0356000001</v>
      </c>
      <c r="Z26" s="363"/>
      <c r="AA26" s="363"/>
      <c r="AB26" s="363"/>
      <c r="AC26" s="363"/>
      <c r="AD26" s="363"/>
      <c r="AE26" s="363"/>
      <c r="AF26" s="363"/>
      <c r="AG26" s="363"/>
      <c r="AH26" s="363"/>
    </row>
    <row r="27" spans="1:34" x14ac:dyDescent="0.3">
      <c r="A27" s="427" t="s">
        <v>316</v>
      </c>
      <c r="B27" s="434">
        <v>0.22</v>
      </c>
      <c r="C27" s="434"/>
      <c r="D27" s="425" t="s">
        <v>326</v>
      </c>
      <c r="E27" s="437">
        <f>(E18-E19)*0.2</f>
        <v>0</v>
      </c>
      <c r="F27" s="437">
        <f>(F18-F19)*0.2</f>
        <v>0</v>
      </c>
      <c r="G27" s="437">
        <f>G20*$B$27</f>
        <v>0</v>
      </c>
      <c r="H27" s="437">
        <f t="shared" ref="H27:S27" si="20">H20*$B$27</f>
        <v>0</v>
      </c>
      <c r="I27" s="437">
        <f t="shared" si="20"/>
        <v>0</v>
      </c>
      <c r="J27" s="437">
        <f t="shared" si="20"/>
        <v>0</v>
      </c>
      <c r="K27" s="437">
        <f t="shared" si="20"/>
        <v>369600</v>
      </c>
      <c r="L27" s="437">
        <f t="shared" si="20"/>
        <v>554400</v>
      </c>
      <c r="M27" s="437">
        <f t="shared" si="20"/>
        <v>739200</v>
      </c>
      <c r="N27" s="437">
        <f t="shared" si="20"/>
        <v>924000</v>
      </c>
      <c r="O27" s="437">
        <f t="shared" si="20"/>
        <v>1108800</v>
      </c>
      <c r="P27" s="437">
        <f t="shared" si="20"/>
        <v>1293600</v>
      </c>
      <c r="Q27" s="437">
        <f t="shared" si="20"/>
        <v>1478400</v>
      </c>
      <c r="R27" s="437">
        <f t="shared" si="20"/>
        <v>1663200</v>
      </c>
      <c r="S27" s="437">
        <f t="shared" si="20"/>
        <v>1663200</v>
      </c>
      <c r="T27" s="377">
        <f t="shared" si="15"/>
        <v>9794400</v>
      </c>
      <c r="U27" s="363"/>
      <c r="V27" s="377">
        <f>SUM($G27:I27)</f>
        <v>0</v>
      </c>
      <c r="W27" s="377">
        <f>SUM($G27:K27)</f>
        <v>369600</v>
      </c>
      <c r="X27" s="377">
        <f>SUM($G27:P27)</f>
        <v>4989600</v>
      </c>
      <c r="Y27" s="377">
        <f>SUM($G27:S27)</f>
        <v>9794400</v>
      </c>
      <c r="Z27" s="363"/>
      <c r="AA27" s="363"/>
      <c r="AB27" s="363"/>
      <c r="AC27" s="363"/>
      <c r="AD27" s="363"/>
      <c r="AE27" s="363"/>
      <c r="AF27" s="363"/>
      <c r="AG27" s="363"/>
      <c r="AH27" s="363"/>
    </row>
    <row r="28" spans="1:34" ht="28" x14ac:dyDescent="0.3">
      <c r="A28" s="442" t="s">
        <v>325</v>
      </c>
      <c r="B28" s="441"/>
      <c r="C28" s="441"/>
      <c r="D28" s="425" t="s">
        <v>326</v>
      </c>
      <c r="E28" s="437">
        <f t="shared" ref="E28:S28" si="21">E23+E24+E27</f>
        <v>0</v>
      </c>
      <c r="F28" s="437">
        <f t="shared" si="21"/>
        <v>0</v>
      </c>
      <c r="G28" s="437">
        <f t="shared" si="21"/>
        <v>0</v>
      </c>
      <c r="H28" s="437">
        <f t="shared" si="21"/>
        <v>0</v>
      </c>
      <c r="I28" s="437">
        <f t="shared" si="21"/>
        <v>0</v>
      </c>
      <c r="J28" s="437">
        <f t="shared" si="21"/>
        <v>0</v>
      </c>
      <c r="K28" s="437">
        <f t="shared" si="21"/>
        <v>932711.04</v>
      </c>
      <c r="L28" s="437">
        <f t="shared" si="21"/>
        <v>1399066.56</v>
      </c>
      <c r="M28" s="437">
        <f t="shared" si="21"/>
        <v>1865422.08</v>
      </c>
      <c r="N28" s="437">
        <f t="shared" si="21"/>
        <v>2331777.6</v>
      </c>
      <c r="O28" s="437">
        <f t="shared" si="21"/>
        <v>2798133.12</v>
      </c>
      <c r="P28" s="437">
        <f t="shared" si="21"/>
        <v>3264488.64</v>
      </c>
      <c r="Q28" s="437">
        <f t="shared" si="21"/>
        <v>3730844.16</v>
      </c>
      <c r="R28" s="437">
        <f t="shared" si="21"/>
        <v>4197199.68</v>
      </c>
      <c r="S28" s="437">
        <f t="shared" si="21"/>
        <v>4197199.68</v>
      </c>
      <c r="T28" s="377">
        <f t="shared" si="15"/>
        <v>24716842.559999999</v>
      </c>
      <c r="U28" s="363"/>
      <c r="V28" s="377">
        <f>SUM($G28:I28)</f>
        <v>0</v>
      </c>
      <c r="W28" s="377">
        <f>SUM($G28:K28)</f>
        <v>932711.04</v>
      </c>
      <c r="X28" s="377">
        <f>SUM($G28:P28)</f>
        <v>12591599.039999999</v>
      </c>
      <c r="Y28" s="377">
        <f>SUM($G28:S28)</f>
        <v>24716842.559999999</v>
      </c>
      <c r="Z28" s="363"/>
      <c r="AA28" s="363"/>
      <c r="AB28" s="363"/>
      <c r="AC28" s="363"/>
      <c r="AD28" s="363"/>
      <c r="AE28" s="363"/>
      <c r="AF28" s="363"/>
      <c r="AG28" s="363"/>
      <c r="AH28" s="363"/>
    </row>
    <row r="29" spans="1:34" x14ac:dyDescent="0.3">
      <c r="A29" s="442"/>
      <c r="B29" s="441"/>
      <c r="C29" s="441"/>
      <c r="D29" s="425"/>
      <c r="E29" s="437"/>
      <c r="F29" s="437"/>
      <c r="G29" s="437"/>
      <c r="H29" s="378"/>
      <c r="I29" s="378"/>
      <c r="J29" s="378"/>
      <c r="K29" s="378"/>
      <c r="L29" s="378"/>
      <c r="M29" s="378"/>
      <c r="N29" s="378"/>
      <c r="O29" s="378"/>
      <c r="P29" s="378"/>
      <c r="Q29" s="378"/>
      <c r="R29" s="378"/>
      <c r="S29" s="378"/>
      <c r="T29" s="377"/>
      <c r="U29" s="363"/>
      <c r="V29" s="377"/>
      <c r="W29" s="377"/>
      <c r="X29" s="377"/>
      <c r="Y29" s="377"/>
      <c r="Z29" s="363"/>
      <c r="AA29" s="363"/>
      <c r="AB29" s="363"/>
      <c r="AC29" s="363"/>
      <c r="AD29" s="363"/>
      <c r="AE29" s="363"/>
      <c r="AF29" s="363"/>
      <c r="AG29" s="363"/>
      <c r="AH29" s="363"/>
    </row>
    <row r="30" spans="1:34" x14ac:dyDescent="0.3">
      <c r="A30" s="443" t="s">
        <v>300</v>
      </c>
      <c r="B30" s="443"/>
      <c r="C30" s="443"/>
      <c r="D30" s="444" t="s">
        <v>326</v>
      </c>
      <c r="E30" s="445">
        <f t="shared" ref="E30:F30" si="22">SUM(E31:E34)</f>
        <v>0</v>
      </c>
      <c r="F30" s="445">
        <f t="shared" si="22"/>
        <v>0</v>
      </c>
      <c r="G30" s="445">
        <f t="shared" ref="G30" si="23">SUM(G31:G34)</f>
        <v>0</v>
      </c>
      <c r="H30" s="445">
        <f t="shared" ref="H30:S30" si="24">SUM(H31:H34)</f>
        <v>0</v>
      </c>
      <c r="I30" s="445">
        <f t="shared" si="24"/>
        <v>0</v>
      </c>
      <c r="J30" s="445">
        <f t="shared" si="24"/>
        <v>0</v>
      </c>
      <c r="K30" s="445">
        <f t="shared" si="24"/>
        <v>1026852.8904</v>
      </c>
      <c r="L30" s="445">
        <f t="shared" si="24"/>
        <v>1540279.3356000001</v>
      </c>
      <c r="M30" s="445">
        <f t="shared" si="24"/>
        <v>2053705.7808000001</v>
      </c>
      <c r="N30" s="445">
        <f t="shared" si="24"/>
        <v>2567132.2259999998</v>
      </c>
      <c r="O30" s="445">
        <f t="shared" si="24"/>
        <v>3080558.6712000002</v>
      </c>
      <c r="P30" s="445">
        <f t="shared" si="24"/>
        <v>3593985.1164000002</v>
      </c>
      <c r="Q30" s="445">
        <f t="shared" si="24"/>
        <v>4107411.5616000001</v>
      </c>
      <c r="R30" s="445">
        <f t="shared" si="24"/>
        <v>4620838.0067999996</v>
      </c>
      <c r="S30" s="445">
        <f t="shared" si="24"/>
        <v>4620838.0067999996</v>
      </c>
      <c r="T30" s="634">
        <f t="shared" ref="T30:T34" si="25">SUM(E30:S30)</f>
        <v>27211601.595600002</v>
      </c>
      <c r="U30" s="363"/>
      <c r="V30" s="484">
        <f>SUM($G30:I30)</f>
        <v>0</v>
      </c>
      <c r="W30" s="484">
        <f>SUM($G30:K30)</f>
        <v>1026852.8904</v>
      </c>
      <c r="X30" s="484">
        <f>SUM($G30:P30)</f>
        <v>13862514.020400001</v>
      </c>
      <c r="Y30" s="484">
        <f>SUM($G30:S30)</f>
        <v>27211601.595600002</v>
      </c>
      <c r="Z30" s="363"/>
      <c r="AA30" s="363"/>
      <c r="AB30" s="363"/>
      <c r="AC30" s="363"/>
      <c r="AD30" s="363"/>
      <c r="AE30" s="363"/>
      <c r="AF30" s="363"/>
      <c r="AG30" s="363"/>
      <c r="AH30" s="363"/>
    </row>
    <row r="31" spans="1:34" x14ac:dyDescent="0.3">
      <c r="A31" s="446" t="s">
        <v>301</v>
      </c>
      <c r="B31" s="446"/>
      <c r="C31" s="446"/>
      <c r="D31" s="444" t="s">
        <v>326</v>
      </c>
      <c r="E31" s="445">
        <f t="shared" ref="E31:H31" si="26">E23</f>
        <v>0</v>
      </c>
      <c r="F31" s="445">
        <f t="shared" si="26"/>
        <v>0</v>
      </c>
      <c r="G31" s="445">
        <f t="shared" si="26"/>
        <v>0</v>
      </c>
      <c r="H31" s="445">
        <f t="shared" si="26"/>
        <v>0</v>
      </c>
      <c r="I31" s="445">
        <f>I23</f>
        <v>0</v>
      </c>
      <c r="J31" s="445">
        <f t="shared" ref="J31:S31" si="27">J23</f>
        <v>0</v>
      </c>
      <c r="K31" s="445">
        <f t="shared" si="27"/>
        <v>384103.2</v>
      </c>
      <c r="L31" s="445">
        <f t="shared" si="27"/>
        <v>576154.80000000005</v>
      </c>
      <c r="M31" s="445">
        <f t="shared" si="27"/>
        <v>768206.4</v>
      </c>
      <c r="N31" s="445">
        <f t="shared" si="27"/>
        <v>960258.00000000012</v>
      </c>
      <c r="O31" s="445">
        <f t="shared" si="27"/>
        <v>1152309.6000000001</v>
      </c>
      <c r="P31" s="445">
        <f t="shared" si="27"/>
        <v>1344361.2000000002</v>
      </c>
      <c r="Q31" s="445">
        <f t="shared" si="27"/>
        <v>1536412.8</v>
      </c>
      <c r="R31" s="445">
        <f t="shared" si="27"/>
        <v>1728464.4000000001</v>
      </c>
      <c r="S31" s="445">
        <f t="shared" si="27"/>
        <v>1728464.4000000001</v>
      </c>
      <c r="T31" s="634">
        <f t="shared" si="25"/>
        <v>10178734.800000001</v>
      </c>
      <c r="U31" s="363"/>
      <c r="V31" s="484">
        <f>SUM($G31:I31)</f>
        <v>0</v>
      </c>
      <c r="W31" s="484">
        <f>SUM($G31:K31)</f>
        <v>384103.2</v>
      </c>
      <c r="X31" s="484">
        <f>SUM($G31:P31)</f>
        <v>5185393.2</v>
      </c>
      <c r="Y31" s="484">
        <f>SUM($G31:S31)</f>
        <v>10178734.800000001</v>
      </c>
      <c r="Z31" s="363"/>
      <c r="AA31" s="363"/>
      <c r="AB31" s="363"/>
      <c r="AC31" s="363"/>
      <c r="AD31" s="363"/>
      <c r="AE31" s="363"/>
      <c r="AF31" s="363"/>
      <c r="AG31" s="363"/>
      <c r="AH31" s="363"/>
    </row>
    <row r="32" spans="1:34" x14ac:dyDescent="0.3">
      <c r="A32" s="446" t="s">
        <v>302</v>
      </c>
      <c r="B32" s="446"/>
      <c r="C32" s="446"/>
      <c r="D32" s="444" t="s">
        <v>326</v>
      </c>
      <c r="E32" s="445">
        <f t="shared" ref="E32:H32" si="28">E24</f>
        <v>0</v>
      </c>
      <c r="F32" s="445">
        <f t="shared" si="28"/>
        <v>0</v>
      </c>
      <c r="G32" s="445">
        <f t="shared" si="28"/>
        <v>0</v>
      </c>
      <c r="H32" s="445">
        <f t="shared" si="28"/>
        <v>0</v>
      </c>
      <c r="I32" s="445">
        <f>I24</f>
        <v>0</v>
      </c>
      <c r="J32" s="445">
        <f t="shared" ref="J32:S32" si="29">J24</f>
        <v>0</v>
      </c>
      <c r="K32" s="445">
        <f t="shared" si="29"/>
        <v>179007.84</v>
      </c>
      <c r="L32" s="445">
        <f t="shared" si="29"/>
        <v>268511.76</v>
      </c>
      <c r="M32" s="445">
        <f t="shared" si="29"/>
        <v>358015.68</v>
      </c>
      <c r="N32" s="445">
        <f t="shared" si="29"/>
        <v>447519.6</v>
      </c>
      <c r="O32" s="445">
        <f t="shared" si="29"/>
        <v>537023.52</v>
      </c>
      <c r="P32" s="445">
        <f t="shared" si="29"/>
        <v>626527.43999999994</v>
      </c>
      <c r="Q32" s="445">
        <f t="shared" si="29"/>
        <v>716031.36</v>
      </c>
      <c r="R32" s="445">
        <f t="shared" si="29"/>
        <v>805535.27999999991</v>
      </c>
      <c r="S32" s="445">
        <f t="shared" si="29"/>
        <v>805535.27999999991</v>
      </c>
      <c r="T32" s="634">
        <f t="shared" si="25"/>
        <v>4743707.76</v>
      </c>
      <c r="U32" s="363"/>
      <c r="V32" s="484">
        <f>SUM($G32:I32)</f>
        <v>0</v>
      </c>
      <c r="W32" s="484">
        <f>SUM($G32:K32)</f>
        <v>179007.84</v>
      </c>
      <c r="X32" s="484">
        <f>SUM($G32:P32)</f>
        <v>2416605.84</v>
      </c>
      <c r="Y32" s="484">
        <f>SUM($G32:S32)</f>
        <v>4743707.76</v>
      </c>
      <c r="Z32" s="363"/>
      <c r="AA32" s="363"/>
      <c r="AB32" s="363"/>
      <c r="AC32" s="363"/>
      <c r="AD32" s="363"/>
      <c r="AE32" s="363"/>
      <c r="AF32" s="363"/>
      <c r="AG32" s="363"/>
      <c r="AH32" s="363"/>
    </row>
    <row r="33" spans="1:34" x14ac:dyDescent="0.3">
      <c r="A33" s="447" t="s">
        <v>303</v>
      </c>
      <c r="B33" s="446"/>
      <c r="C33" s="446"/>
      <c r="D33" s="444" t="s">
        <v>326</v>
      </c>
      <c r="E33" s="445">
        <f t="shared" ref="E33:H33" si="30">E26</f>
        <v>0</v>
      </c>
      <c r="F33" s="445">
        <f t="shared" si="30"/>
        <v>0</v>
      </c>
      <c r="G33" s="445">
        <f t="shared" si="30"/>
        <v>0</v>
      </c>
      <c r="H33" s="445">
        <f t="shared" si="30"/>
        <v>0</v>
      </c>
      <c r="I33" s="445">
        <f>I26</f>
        <v>0</v>
      </c>
      <c r="J33" s="445">
        <f t="shared" ref="J33:S33" si="31">J26</f>
        <v>0</v>
      </c>
      <c r="K33" s="445">
        <f t="shared" si="31"/>
        <v>94141.850399999996</v>
      </c>
      <c r="L33" s="445">
        <f t="shared" si="31"/>
        <v>141212.77559999999</v>
      </c>
      <c r="M33" s="445">
        <f t="shared" si="31"/>
        <v>188283.70079999999</v>
      </c>
      <c r="N33" s="445">
        <f t="shared" si="31"/>
        <v>235354.62599999999</v>
      </c>
      <c r="O33" s="445">
        <f t="shared" si="31"/>
        <v>282425.55119999999</v>
      </c>
      <c r="P33" s="445">
        <f t="shared" si="31"/>
        <v>329496.47639999999</v>
      </c>
      <c r="Q33" s="445">
        <f t="shared" si="31"/>
        <v>376567.40159999998</v>
      </c>
      <c r="R33" s="445">
        <f t="shared" si="31"/>
        <v>423638.32679999998</v>
      </c>
      <c r="S33" s="445">
        <f t="shared" si="31"/>
        <v>423638.32679999998</v>
      </c>
      <c r="T33" s="634">
        <f t="shared" si="25"/>
        <v>2494759.0356000001</v>
      </c>
      <c r="U33" s="363"/>
      <c r="V33" s="484">
        <f>SUM($G33:I33)</f>
        <v>0</v>
      </c>
      <c r="W33" s="484">
        <f>SUM($G33:K33)</f>
        <v>94141.850399999996</v>
      </c>
      <c r="X33" s="484">
        <f>SUM($G33:P33)</f>
        <v>1270914.9804</v>
      </c>
      <c r="Y33" s="484">
        <f>SUM($G33:S33)</f>
        <v>2494759.0356000001</v>
      </c>
      <c r="Z33" s="363"/>
      <c r="AA33" s="363"/>
      <c r="AB33" s="363"/>
      <c r="AC33" s="363"/>
      <c r="AD33" s="363"/>
      <c r="AE33" s="363"/>
      <c r="AF33" s="363"/>
      <c r="AG33" s="363"/>
      <c r="AH33" s="363"/>
    </row>
    <row r="34" spans="1:34" x14ac:dyDescent="0.3">
      <c r="A34" s="446" t="s">
        <v>304</v>
      </c>
      <c r="B34" s="446"/>
      <c r="C34" s="446"/>
      <c r="D34" s="444" t="s">
        <v>326</v>
      </c>
      <c r="E34" s="445">
        <f t="shared" ref="E34:H34" si="32">E27</f>
        <v>0</v>
      </c>
      <c r="F34" s="445">
        <f t="shared" si="32"/>
        <v>0</v>
      </c>
      <c r="G34" s="445">
        <f t="shared" si="32"/>
        <v>0</v>
      </c>
      <c r="H34" s="445">
        <f t="shared" si="32"/>
        <v>0</v>
      </c>
      <c r="I34" s="445">
        <f>I27</f>
        <v>0</v>
      </c>
      <c r="J34" s="445">
        <f t="shared" ref="J34:S34" si="33">J27</f>
        <v>0</v>
      </c>
      <c r="K34" s="445">
        <f t="shared" si="33"/>
        <v>369600</v>
      </c>
      <c r="L34" s="445">
        <f t="shared" si="33"/>
        <v>554400</v>
      </c>
      <c r="M34" s="445">
        <f t="shared" si="33"/>
        <v>739200</v>
      </c>
      <c r="N34" s="445">
        <f t="shared" si="33"/>
        <v>924000</v>
      </c>
      <c r="O34" s="445">
        <f t="shared" si="33"/>
        <v>1108800</v>
      </c>
      <c r="P34" s="445">
        <f t="shared" si="33"/>
        <v>1293600</v>
      </c>
      <c r="Q34" s="445">
        <f t="shared" si="33"/>
        <v>1478400</v>
      </c>
      <c r="R34" s="445">
        <f t="shared" si="33"/>
        <v>1663200</v>
      </c>
      <c r="S34" s="445">
        <f t="shared" si="33"/>
        <v>1663200</v>
      </c>
      <c r="T34" s="634">
        <f t="shared" si="25"/>
        <v>9794400</v>
      </c>
      <c r="U34" s="363"/>
      <c r="V34" s="484">
        <f>SUM($G34:I34)</f>
        <v>0</v>
      </c>
      <c r="W34" s="484">
        <f>SUM($G34:K34)</f>
        <v>369600</v>
      </c>
      <c r="X34" s="484">
        <f>SUM($G34:P34)</f>
        <v>4989600</v>
      </c>
      <c r="Y34" s="484">
        <f>SUM($G34:S34)</f>
        <v>9794400</v>
      </c>
      <c r="Z34" s="363"/>
      <c r="AA34" s="363"/>
      <c r="AB34" s="363"/>
      <c r="AC34" s="363"/>
      <c r="AD34" s="363"/>
      <c r="AE34" s="363"/>
      <c r="AF34" s="363"/>
      <c r="AG34" s="363"/>
      <c r="AH34" s="363"/>
    </row>
    <row r="35" spans="1:34" x14ac:dyDescent="0.3">
      <c r="A35" s="441"/>
      <c r="B35" s="441"/>
      <c r="C35" s="441"/>
      <c r="D35" s="425"/>
      <c r="E35" s="426"/>
      <c r="F35" s="430"/>
      <c r="G35" s="430"/>
      <c r="H35" s="376"/>
      <c r="I35" s="376"/>
      <c r="J35" s="376"/>
      <c r="K35" s="376"/>
      <c r="L35" s="376"/>
      <c r="M35" s="376"/>
      <c r="N35" s="376"/>
      <c r="O35" s="376"/>
      <c r="P35" s="376"/>
      <c r="Q35" s="376"/>
      <c r="R35" s="376"/>
      <c r="S35" s="376"/>
      <c r="T35" s="376"/>
      <c r="U35" s="363"/>
      <c r="V35" s="367"/>
      <c r="W35" s="367"/>
      <c r="X35" s="367"/>
      <c r="Y35" s="367"/>
      <c r="Z35" s="363"/>
      <c r="AA35" s="363"/>
      <c r="AB35" s="363"/>
      <c r="AC35" s="363"/>
      <c r="AD35" s="363"/>
      <c r="AE35" s="363"/>
      <c r="AF35" s="363"/>
      <c r="AG35" s="363"/>
      <c r="AH35" s="363"/>
    </row>
    <row r="36" spans="1:34" x14ac:dyDescent="0.3">
      <c r="A36" s="448" t="s">
        <v>305</v>
      </c>
      <c r="B36" s="448"/>
      <c r="C36" s="448"/>
      <c r="D36" s="444"/>
      <c r="E36" s="449"/>
      <c r="F36" s="449"/>
      <c r="G36" s="449"/>
      <c r="H36" s="449"/>
      <c r="I36" s="449"/>
      <c r="J36" s="449">
        <f t="shared" ref="J36:S36" si="34">SUM(J37:J38)</f>
        <v>0</v>
      </c>
      <c r="K36" s="449">
        <f t="shared" si="34"/>
        <v>50</v>
      </c>
      <c r="L36" s="449">
        <f t="shared" si="34"/>
        <v>75</v>
      </c>
      <c r="M36" s="449">
        <f t="shared" si="34"/>
        <v>100</v>
      </c>
      <c r="N36" s="449">
        <f t="shared" si="34"/>
        <v>125</v>
      </c>
      <c r="O36" s="449">
        <f t="shared" si="34"/>
        <v>150</v>
      </c>
      <c r="P36" s="449">
        <f t="shared" si="34"/>
        <v>175</v>
      </c>
      <c r="Q36" s="449">
        <f t="shared" si="34"/>
        <v>200</v>
      </c>
      <c r="R36" s="449">
        <f t="shared" si="34"/>
        <v>225</v>
      </c>
      <c r="S36" s="449">
        <f t="shared" si="34"/>
        <v>225</v>
      </c>
      <c r="T36" s="379">
        <f>S36</f>
        <v>225</v>
      </c>
      <c r="U36" s="363"/>
      <c r="V36" s="375">
        <f>I36</f>
        <v>0</v>
      </c>
      <c r="W36" s="375">
        <f>K36</f>
        <v>50</v>
      </c>
      <c r="X36" s="375">
        <f>P36</f>
        <v>175</v>
      </c>
      <c r="Y36" s="375">
        <f>S36</f>
        <v>225</v>
      </c>
      <c r="Z36" s="363"/>
      <c r="AA36" s="363"/>
      <c r="AB36" s="363"/>
      <c r="AC36" s="363"/>
      <c r="AD36" s="363"/>
      <c r="AE36" s="363"/>
      <c r="AF36" s="363"/>
      <c r="AG36" s="363"/>
      <c r="AH36" s="363"/>
    </row>
    <row r="37" spans="1:34" x14ac:dyDescent="0.3">
      <c r="A37" s="450" t="s">
        <v>415</v>
      </c>
      <c r="B37" s="450"/>
      <c r="C37" s="450"/>
      <c r="D37" s="444" t="s">
        <v>327</v>
      </c>
      <c r="E37" s="449"/>
      <c r="F37" s="449"/>
      <c r="G37" s="449"/>
      <c r="H37" s="449"/>
      <c r="I37" s="449"/>
      <c r="J37" s="449">
        <f t="shared" ref="J37:S37" si="35">J21</f>
        <v>0</v>
      </c>
      <c r="K37" s="449">
        <f t="shared" si="35"/>
        <v>50</v>
      </c>
      <c r="L37" s="449">
        <f t="shared" si="35"/>
        <v>75</v>
      </c>
      <c r="M37" s="449">
        <f t="shared" si="35"/>
        <v>100</v>
      </c>
      <c r="N37" s="449">
        <f t="shared" si="35"/>
        <v>125</v>
      </c>
      <c r="O37" s="449">
        <f t="shared" si="35"/>
        <v>150</v>
      </c>
      <c r="P37" s="449">
        <f t="shared" si="35"/>
        <v>175</v>
      </c>
      <c r="Q37" s="449">
        <f t="shared" si="35"/>
        <v>200</v>
      </c>
      <c r="R37" s="449">
        <f t="shared" si="35"/>
        <v>225</v>
      </c>
      <c r="S37" s="449">
        <f t="shared" si="35"/>
        <v>225</v>
      </c>
      <c r="T37" s="379">
        <f t="shared" ref="T37:T38" si="36">S37</f>
        <v>225</v>
      </c>
      <c r="U37" s="363"/>
      <c r="V37" s="375">
        <f>I37</f>
        <v>0</v>
      </c>
      <c r="W37" s="375">
        <f>K37</f>
        <v>50</v>
      </c>
      <c r="X37" s="375">
        <f>P37</f>
        <v>175</v>
      </c>
      <c r="Y37" s="375">
        <f t="shared" ref="Y37:Y38" si="37">S37</f>
        <v>225</v>
      </c>
      <c r="Z37" s="363"/>
      <c r="AA37" s="363"/>
      <c r="AB37" s="363"/>
      <c r="AC37" s="363"/>
      <c r="AD37" s="363"/>
      <c r="AE37" s="363"/>
      <c r="AF37" s="363"/>
      <c r="AG37" s="363"/>
      <c r="AH37" s="363"/>
    </row>
    <row r="38" spans="1:34" hidden="1" x14ac:dyDescent="0.3">
      <c r="A38" s="450"/>
      <c r="B38" s="450"/>
      <c r="C38" s="450"/>
      <c r="D38" s="444"/>
      <c r="E38" s="451"/>
      <c r="F38" s="451"/>
      <c r="G38" s="451"/>
      <c r="H38" s="451"/>
      <c r="I38" s="451"/>
      <c r="J38" s="451"/>
      <c r="K38" s="451"/>
      <c r="L38" s="451"/>
      <c r="M38" s="451"/>
      <c r="N38" s="451"/>
      <c r="O38" s="451"/>
      <c r="P38" s="451"/>
      <c r="Q38" s="451"/>
      <c r="R38" s="451"/>
      <c r="S38" s="451"/>
      <c r="T38" s="379">
        <f t="shared" si="36"/>
        <v>0</v>
      </c>
      <c r="U38" s="363"/>
      <c r="V38" s="375">
        <f>I38</f>
        <v>0</v>
      </c>
      <c r="W38" s="375">
        <f>K38</f>
        <v>0</v>
      </c>
      <c r="X38" s="375">
        <f>P38</f>
        <v>0</v>
      </c>
      <c r="Y38" s="375">
        <f t="shared" si="37"/>
        <v>0</v>
      </c>
      <c r="Z38" s="363"/>
      <c r="AA38" s="363"/>
      <c r="AB38" s="363"/>
      <c r="AC38" s="363"/>
      <c r="AD38" s="363"/>
      <c r="AE38" s="363"/>
      <c r="AF38" s="363"/>
      <c r="AG38" s="363"/>
      <c r="AH38" s="363"/>
    </row>
    <row r="39" spans="1:34" x14ac:dyDescent="0.3">
      <c r="A39" s="427"/>
      <c r="B39" s="427"/>
      <c r="C39" s="427"/>
      <c r="D39" s="425"/>
      <c r="E39" s="435"/>
      <c r="F39" s="435"/>
      <c r="G39" s="435"/>
      <c r="H39" s="375"/>
      <c r="I39" s="375"/>
      <c r="J39" s="375"/>
      <c r="K39" s="375"/>
      <c r="L39" s="375"/>
      <c r="M39" s="375"/>
      <c r="N39" s="375"/>
      <c r="O39" s="375"/>
      <c r="P39" s="375"/>
      <c r="Q39" s="375"/>
      <c r="R39" s="375"/>
      <c r="S39" s="375"/>
      <c r="T39" s="375"/>
      <c r="U39" s="363"/>
      <c r="V39" s="367"/>
      <c r="W39" s="367"/>
      <c r="X39" s="367"/>
      <c r="Y39" s="367"/>
      <c r="Z39" s="363"/>
      <c r="AA39" s="363"/>
      <c r="AB39" s="363"/>
      <c r="AC39" s="363"/>
      <c r="AD39" s="363"/>
      <c r="AE39" s="363"/>
      <c r="AF39" s="363"/>
      <c r="AG39" s="363"/>
      <c r="AH39" s="363"/>
    </row>
    <row r="40" spans="1:34" x14ac:dyDescent="0.3">
      <c r="A40" s="448" t="s">
        <v>306</v>
      </c>
      <c r="B40" s="450"/>
      <c r="C40" s="450"/>
      <c r="D40" s="444"/>
      <c r="E40" s="451"/>
      <c r="F40" s="451"/>
      <c r="G40" s="451"/>
      <c r="H40" s="451"/>
      <c r="I40" s="451"/>
      <c r="J40" s="451">
        <f t="shared" ref="J40:S40" si="38">SUM(J41:J42)</f>
        <v>1</v>
      </c>
      <c r="K40" s="451">
        <f t="shared" si="38"/>
        <v>2</v>
      </c>
      <c r="L40" s="451">
        <f t="shared" si="38"/>
        <v>3</v>
      </c>
      <c r="M40" s="451">
        <f t="shared" si="38"/>
        <v>4</v>
      </c>
      <c r="N40" s="451">
        <f t="shared" si="38"/>
        <v>5</v>
      </c>
      <c r="O40" s="451">
        <f t="shared" si="38"/>
        <v>6</v>
      </c>
      <c r="P40" s="451">
        <f t="shared" si="38"/>
        <v>7</v>
      </c>
      <c r="Q40" s="451">
        <f t="shared" si="38"/>
        <v>8</v>
      </c>
      <c r="R40" s="451">
        <f t="shared" si="38"/>
        <v>9</v>
      </c>
      <c r="S40" s="451">
        <f t="shared" si="38"/>
        <v>9</v>
      </c>
      <c r="T40" s="380">
        <f>S40</f>
        <v>9</v>
      </c>
      <c r="U40" s="363"/>
      <c r="V40" s="375">
        <f>V41+V42</f>
        <v>0</v>
      </c>
      <c r="W40" s="375">
        <f>W41+W42</f>
        <v>2</v>
      </c>
      <c r="X40" s="375">
        <f>X41+X42</f>
        <v>7</v>
      </c>
      <c r="Y40" s="375">
        <f>Y41+Y42</f>
        <v>9</v>
      </c>
      <c r="Z40" s="363"/>
      <c r="AA40" s="363"/>
      <c r="AB40" s="363"/>
      <c r="AC40" s="363"/>
      <c r="AD40" s="363"/>
      <c r="AE40" s="363"/>
      <c r="AF40" s="363"/>
      <c r="AG40" s="363"/>
      <c r="AH40" s="363"/>
    </row>
    <row r="41" spans="1:34" x14ac:dyDescent="0.3">
      <c r="A41" s="450" t="str">
        <f>A37</f>
        <v>Ettevõtted</v>
      </c>
      <c r="B41" s="450"/>
      <c r="C41" s="450"/>
      <c r="D41" s="444" t="s">
        <v>353</v>
      </c>
      <c r="E41" s="451"/>
      <c r="F41" s="451"/>
      <c r="G41" s="451"/>
      <c r="H41" s="451"/>
      <c r="I41" s="451"/>
      <c r="J41" s="451">
        <f t="shared" ref="J41" si="39">J6</f>
        <v>1</v>
      </c>
      <c r="K41" s="451">
        <f>K6</f>
        <v>2</v>
      </c>
      <c r="L41" s="451">
        <f t="shared" ref="L41:S41" si="40">L6</f>
        <v>3</v>
      </c>
      <c r="M41" s="451">
        <f t="shared" si="40"/>
        <v>4</v>
      </c>
      <c r="N41" s="451">
        <f t="shared" si="40"/>
        <v>5</v>
      </c>
      <c r="O41" s="451">
        <f t="shared" si="40"/>
        <v>6</v>
      </c>
      <c r="P41" s="451">
        <f t="shared" si="40"/>
        <v>7</v>
      </c>
      <c r="Q41" s="451">
        <f t="shared" si="40"/>
        <v>8</v>
      </c>
      <c r="R41" s="451">
        <f t="shared" si="40"/>
        <v>9</v>
      </c>
      <c r="S41" s="451">
        <f t="shared" si="40"/>
        <v>9</v>
      </c>
      <c r="T41" s="380">
        <f t="shared" ref="T41:T42" si="41">S41</f>
        <v>9</v>
      </c>
      <c r="U41" s="363"/>
      <c r="V41" s="375">
        <f>I41</f>
        <v>0</v>
      </c>
      <c r="W41" s="375">
        <f>K41</f>
        <v>2</v>
      </c>
      <c r="X41" s="375">
        <f>P41</f>
        <v>7</v>
      </c>
      <c r="Y41" s="375">
        <f>S41</f>
        <v>9</v>
      </c>
      <c r="Z41" s="363"/>
      <c r="AA41" s="363"/>
      <c r="AB41" s="363"/>
      <c r="AC41" s="363"/>
      <c r="AD41" s="363"/>
      <c r="AE41" s="363"/>
      <c r="AF41" s="363"/>
      <c r="AG41" s="363"/>
      <c r="AH41" s="363"/>
    </row>
    <row r="42" spans="1:34" hidden="1" x14ac:dyDescent="0.3">
      <c r="A42" s="450"/>
      <c r="B42" s="450"/>
      <c r="C42" s="450"/>
      <c r="D42" s="444"/>
      <c r="E42" s="451"/>
      <c r="F42" s="451"/>
      <c r="G42" s="451"/>
      <c r="H42" s="451"/>
      <c r="I42" s="451"/>
      <c r="J42" s="451"/>
      <c r="K42" s="451"/>
      <c r="L42" s="451"/>
      <c r="M42" s="451"/>
      <c r="N42" s="451"/>
      <c r="O42" s="451"/>
      <c r="P42" s="451"/>
      <c r="Q42" s="451"/>
      <c r="R42" s="451"/>
      <c r="S42" s="451"/>
      <c r="T42" s="380">
        <f t="shared" si="41"/>
        <v>0</v>
      </c>
      <c r="U42" s="363"/>
      <c r="V42" s="375">
        <f>I42</f>
        <v>0</v>
      </c>
      <c r="W42" s="375">
        <f>K42</f>
        <v>0</v>
      </c>
      <c r="X42" s="375">
        <f>P42</f>
        <v>0</v>
      </c>
      <c r="Y42" s="375">
        <f>S42</f>
        <v>0</v>
      </c>
      <c r="Z42" s="363"/>
      <c r="AA42" s="363"/>
      <c r="AB42" s="363"/>
      <c r="AC42" s="363"/>
      <c r="AD42" s="363"/>
      <c r="AE42" s="363"/>
      <c r="AF42" s="363"/>
      <c r="AG42" s="363"/>
      <c r="AH42" s="363"/>
    </row>
    <row r="43" spans="1:34" x14ac:dyDescent="0.3">
      <c r="A43" s="427"/>
      <c r="B43" s="426"/>
      <c r="C43" s="426"/>
      <c r="D43" s="425"/>
      <c r="E43" s="430"/>
      <c r="F43" s="430"/>
      <c r="G43" s="430"/>
      <c r="H43" s="376"/>
      <c r="I43" s="376"/>
      <c r="J43" s="376"/>
      <c r="K43" s="376"/>
      <c r="L43" s="376"/>
      <c r="M43" s="376"/>
      <c r="N43" s="376"/>
      <c r="O43" s="376"/>
      <c r="P43" s="376"/>
      <c r="Q43" s="376"/>
      <c r="R43" s="376"/>
      <c r="S43" s="376"/>
      <c r="T43" s="375"/>
      <c r="U43" s="363"/>
      <c r="V43" s="367"/>
      <c r="W43" s="367"/>
      <c r="X43" s="367"/>
      <c r="Y43" s="367"/>
      <c r="Z43" s="363"/>
      <c r="AA43" s="363"/>
      <c r="AB43" s="363"/>
      <c r="AC43" s="363"/>
      <c r="AD43" s="363"/>
      <c r="AE43" s="363"/>
      <c r="AF43" s="363"/>
      <c r="AG43" s="363"/>
      <c r="AH43" s="363"/>
    </row>
    <row r="44" spans="1:34" x14ac:dyDescent="0.3">
      <c r="A44" s="443" t="s">
        <v>307</v>
      </c>
      <c r="B44" s="452"/>
      <c r="C44" s="452"/>
      <c r="D44" s="444"/>
      <c r="E44" s="449"/>
      <c r="F44" s="449"/>
      <c r="G44" s="449"/>
      <c r="H44" s="379"/>
      <c r="I44" s="379"/>
      <c r="J44" s="379"/>
      <c r="K44" s="379"/>
      <c r="L44" s="379"/>
      <c r="M44" s="379"/>
      <c r="N44" s="379"/>
      <c r="O44" s="379"/>
      <c r="P44" s="379"/>
      <c r="Q44" s="379"/>
      <c r="R44" s="379"/>
      <c r="S44" s="379"/>
      <c r="T44" s="380"/>
      <c r="U44" s="363"/>
      <c r="V44" s="367"/>
      <c r="W44" s="367"/>
      <c r="X44" s="367"/>
      <c r="Y44" s="367"/>
      <c r="Z44" s="363"/>
      <c r="AA44" s="363"/>
      <c r="AB44" s="363"/>
      <c r="AC44" s="363"/>
      <c r="AD44" s="363"/>
      <c r="AE44" s="363"/>
      <c r="AF44" s="363"/>
      <c r="AG44" s="363"/>
      <c r="AH44" s="363"/>
    </row>
    <row r="45" spans="1:34" x14ac:dyDescent="0.3">
      <c r="A45" s="450" t="s">
        <v>1</v>
      </c>
      <c r="B45" s="452"/>
      <c r="C45" s="452"/>
      <c r="D45" s="444" t="s">
        <v>326</v>
      </c>
      <c r="E45" s="445"/>
      <c r="F45" s="445"/>
      <c r="G45" s="453">
        <f t="shared" ref="G45:H47" si="42">G18</f>
        <v>0</v>
      </c>
      <c r="H45" s="453">
        <f t="shared" si="42"/>
        <v>0</v>
      </c>
      <c r="I45" s="453">
        <f t="shared" ref="I45:S45" si="43">I18</f>
        <v>0</v>
      </c>
      <c r="J45" s="453">
        <f t="shared" si="43"/>
        <v>0</v>
      </c>
      <c r="K45" s="633">
        <f t="shared" si="43"/>
        <v>2010000.0000000002</v>
      </c>
      <c r="L45" s="633">
        <f t="shared" si="43"/>
        <v>3015000</v>
      </c>
      <c r="M45" s="633">
        <f t="shared" si="43"/>
        <v>4020000.0000000005</v>
      </c>
      <c r="N45" s="633">
        <f t="shared" si="43"/>
        <v>5025000</v>
      </c>
      <c r="O45" s="633">
        <f t="shared" si="43"/>
        <v>6030000</v>
      </c>
      <c r="P45" s="633">
        <f t="shared" si="43"/>
        <v>7035000.0000000009</v>
      </c>
      <c r="Q45" s="633">
        <f t="shared" si="43"/>
        <v>8040000.0000000009</v>
      </c>
      <c r="R45" s="633">
        <f t="shared" si="43"/>
        <v>9045000</v>
      </c>
      <c r="S45" s="633">
        <f t="shared" si="43"/>
        <v>9045000</v>
      </c>
      <c r="T45" s="634">
        <f>SUM(E45:S45)</f>
        <v>53265000</v>
      </c>
      <c r="U45" s="363"/>
      <c r="V45" s="377">
        <f>SUM($G45:I45)</f>
        <v>0</v>
      </c>
      <c r="W45" s="377">
        <f>SUM($G45:K45)</f>
        <v>2010000.0000000002</v>
      </c>
      <c r="X45" s="377">
        <f>SUM($G45:P45)</f>
        <v>27135000</v>
      </c>
      <c r="Y45" s="377">
        <f>SUM($G45:S45)</f>
        <v>53265000</v>
      </c>
      <c r="Z45" s="363"/>
      <c r="AA45" s="363"/>
      <c r="AB45" s="363"/>
      <c r="AC45" s="363"/>
      <c r="AD45" s="363"/>
      <c r="AE45" s="363"/>
      <c r="AF45" s="363"/>
      <c r="AG45" s="363"/>
      <c r="AH45" s="363"/>
    </row>
    <row r="46" spans="1:34" x14ac:dyDescent="0.3">
      <c r="A46" s="450" t="s">
        <v>288</v>
      </c>
      <c r="B46" s="452"/>
      <c r="C46" s="452"/>
      <c r="D46" s="444" t="s">
        <v>326</v>
      </c>
      <c r="E46" s="445"/>
      <c r="F46" s="445"/>
      <c r="G46" s="453">
        <f t="shared" si="42"/>
        <v>0</v>
      </c>
      <c r="H46" s="453">
        <f t="shared" si="42"/>
        <v>0</v>
      </c>
      <c r="I46" s="453">
        <f t="shared" ref="I46:S46" si="44">I19</f>
        <v>0</v>
      </c>
      <c r="J46" s="453">
        <f t="shared" si="44"/>
        <v>0</v>
      </c>
      <c r="K46" s="633">
        <f t="shared" si="44"/>
        <v>1608000.0000000002</v>
      </c>
      <c r="L46" s="633">
        <f t="shared" si="44"/>
        <v>2412000</v>
      </c>
      <c r="M46" s="633">
        <f t="shared" si="44"/>
        <v>3216000.0000000005</v>
      </c>
      <c r="N46" s="633">
        <f t="shared" si="44"/>
        <v>4020000</v>
      </c>
      <c r="O46" s="633">
        <f t="shared" si="44"/>
        <v>4824000</v>
      </c>
      <c r="P46" s="633">
        <f t="shared" si="44"/>
        <v>5628000.0000000009</v>
      </c>
      <c r="Q46" s="633">
        <f t="shared" si="44"/>
        <v>6432000.0000000009</v>
      </c>
      <c r="R46" s="633">
        <f t="shared" si="44"/>
        <v>7236000</v>
      </c>
      <c r="S46" s="633">
        <f t="shared" si="44"/>
        <v>7236000</v>
      </c>
      <c r="T46" s="634">
        <f>SUM(E46:S46)</f>
        <v>42612000</v>
      </c>
      <c r="U46" s="363"/>
      <c r="V46" s="377">
        <f>SUM($G46:I46)</f>
        <v>0</v>
      </c>
      <c r="W46" s="377">
        <f>SUM($G46:K46)</f>
        <v>1608000.0000000002</v>
      </c>
      <c r="X46" s="377">
        <f>SUM($G46:P46)</f>
        <v>21708000</v>
      </c>
      <c r="Y46" s="377">
        <f>SUM($G46:S46)</f>
        <v>42612000</v>
      </c>
      <c r="Z46" s="363"/>
      <c r="AA46" s="381"/>
      <c r="AB46" s="363"/>
      <c r="AC46" s="363"/>
      <c r="AD46" s="363"/>
      <c r="AE46" s="363"/>
      <c r="AF46" s="363"/>
      <c r="AG46" s="363"/>
      <c r="AH46" s="363"/>
    </row>
    <row r="47" spans="1:34" x14ac:dyDescent="0.3">
      <c r="A47" s="450" t="s">
        <v>308</v>
      </c>
      <c r="B47" s="449"/>
      <c r="C47" s="454"/>
      <c r="D47" s="444" t="s">
        <v>326</v>
      </c>
      <c r="E47" s="445"/>
      <c r="F47" s="445"/>
      <c r="G47" s="453">
        <f t="shared" si="42"/>
        <v>0</v>
      </c>
      <c r="H47" s="453">
        <f t="shared" si="42"/>
        <v>0</v>
      </c>
      <c r="I47" s="453">
        <f t="shared" ref="I47:S47" si="45">I20</f>
        <v>0</v>
      </c>
      <c r="J47" s="453">
        <f t="shared" si="45"/>
        <v>0</v>
      </c>
      <c r="K47" s="633">
        <f t="shared" si="45"/>
        <v>1680000</v>
      </c>
      <c r="L47" s="633">
        <f t="shared" si="45"/>
        <v>2520000</v>
      </c>
      <c r="M47" s="633">
        <f t="shared" si="45"/>
        <v>3360000</v>
      </c>
      <c r="N47" s="633">
        <f t="shared" si="45"/>
        <v>4200000</v>
      </c>
      <c r="O47" s="633">
        <f t="shared" si="45"/>
        <v>5040000</v>
      </c>
      <c r="P47" s="633">
        <f t="shared" si="45"/>
        <v>5880000</v>
      </c>
      <c r="Q47" s="633">
        <f t="shared" si="45"/>
        <v>6720000</v>
      </c>
      <c r="R47" s="633">
        <f t="shared" si="45"/>
        <v>7560000</v>
      </c>
      <c r="S47" s="633">
        <f t="shared" si="45"/>
        <v>7560000</v>
      </c>
      <c r="T47" s="634">
        <f>SUM(E47:S47)</f>
        <v>44520000</v>
      </c>
      <c r="U47" s="363"/>
      <c r="V47" s="377">
        <f>SUM($G47:I47)</f>
        <v>0</v>
      </c>
      <c r="W47" s="377">
        <f>SUM($G47:K47)</f>
        <v>1680000</v>
      </c>
      <c r="X47" s="377">
        <f>SUM($G47:P47)</f>
        <v>22680000</v>
      </c>
      <c r="Y47" s="377">
        <f>SUM($G47:S47)</f>
        <v>44520000</v>
      </c>
      <c r="Z47" s="363"/>
      <c r="AA47" s="381"/>
      <c r="AB47" s="363"/>
      <c r="AC47" s="363"/>
      <c r="AD47" s="363"/>
      <c r="AE47" s="363"/>
      <c r="AF47" s="363"/>
      <c r="AG47" s="363"/>
      <c r="AH47" s="363"/>
    </row>
    <row r="48" spans="1:34" x14ac:dyDescent="0.3">
      <c r="A48" s="455"/>
      <c r="B48" s="456"/>
      <c r="C48" s="456"/>
      <c r="D48" s="457"/>
      <c r="E48" s="458"/>
      <c r="F48" s="458"/>
      <c r="G48" s="458"/>
      <c r="H48" s="382"/>
      <c r="I48" s="382"/>
      <c r="J48" s="382"/>
      <c r="K48" s="382"/>
      <c r="L48" s="382"/>
      <c r="M48" s="382"/>
      <c r="N48" s="382"/>
      <c r="O48" s="382"/>
      <c r="P48" s="382"/>
      <c r="Q48" s="382"/>
      <c r="R48" s="382"/>
      <c r="S48" s="382"/>
      <c r="T48" s="383"/>
      <c r="U48" s="363"/>
      <c r="V48" s="363"/>
      <c r="W48" s="363"/>
      <c r="X48" s="363"/>
      <c r="Y48" s="363"/>
      <c r="Z48" s="363"/>
      <c r="AA48" s="363"/>
      <c r="AB48" s="363"/>
      <c r="AC48" s="363"/>
      <c r="AD48" s="363"/>
      <c r="AE48" s="363"/>
      <c r="AF48" s="363"/>
      <c r="AG48" s="363"/>
      <c r="AH48" s="363"/>
    </row>
    <row r="49" spans="1:34" x14ac:dyDescent="0.3">
      <c r="A49" s="459" t="s">
        <v>290</v>
      </c>
      <c r="B49" s="456"/>
      <c r="C49" s="456"/>
      <c r="D49" s="457"/>
      <c r="E49" s="458"/>
      <c r="F49" s="458"/>
      <c r="G49" s="458"/>
      <c r="H49" s="382"/>
      <c r="I49" s="382"/>
      <c r="J49" s="382"/>
      <c r="K49" s="382"/>
      <c r="L49" s="382"/>
      <c r="M49" s="382"/>
      <c r="N49" s="382"/>
      <c r="O49" s="382"/>
      <c r="P49" s="382"/>
      <c r="Q49" s="382"/>
      <c r="R49" s="382"/>
      <c r="S49" s="382"/>
      <c r="T49" s="383"/>
      <c r="U49" s="363"/>
      <c r="V49" s="363"/>
      <c r="W49" s="363"/>
      <c r="X49" s="363"/>
      <c r="Y49" s="363"/>
      <c r="Z49" s="363"/>
      <c r="AA49" s="363"/>
      <c r="AB49" s="363"/>
      <c r="AC49" s="363"/>
      <c r="AD49" s="363"/>
      <c r="AE49" s="363"/>
      <c r="AF49" s="363"/>
      <c r="AG49" s="363"/>
      <c r="AH49" s="363"/>
    </row>
    <row r="50" spans="1:34" x14ac:dyDescent="0.3">
      <c r="A50" s="502"/>
      <c r="B50" s="502"/>
      <c r="C50" s="502"/>
      <c r="D50" s="503"/>
      <c r="E50" s="423">
        <f t="shared" ref="E50:T50" si="46">E3</f>
        <v>2024</v>
      </c>
      <c r="F50" s="423">
        <f t="shared" si="46"/>
        <v>2025</v>
      </c>
      <c r="G50" s="423">
        <f t="shared" si="46"/>
        <v>2026</v>
      </c>
      <c r="H50" s="423">
        <f t="shared" si="46"/>
        <v>2027</v>
      </c>
      <c r="I50" s="423">
        <f t="shared" si="46"/>
        <v>2028</v>
      </c>
      <c r="J50" s="423">
        <f t="shared" si="46"/>
        <v>2029</v>
      </c>
      <c r="K50" s="423">
        <f t="shared" si="46"/>
        <v>2030</v>
      </c>
      <c r="L50" s="423">
        <f t="shared" si="46"/>
        <v>2031</v>
      </c>
      <c r="M50" s="423">
        <f t="shared" si="46"/>
        <v>2032</v>
      </c>
      <c r="N50" s="423">
        <f t="shared" si="46"/>
        <v>2033</v>
      </c>
      <c r="O50" s="423">
        <f t="shared" si="46"/>
        <v>2034</v>
      </c>
      <c r="P50" s="423">
        <f t="shared" si="46"/>
        <v>2035</v>
      </c>
      <c r="Q50" s="423">
        <f t="shared" si="46"/>
        <v>2036</v>
      </c>
      <c r="R50" s="423">
        <f t="shared" si="46"/>
        <v>2037</v>
      </c>
      <c r="S50" s="423">
        <f t="shared" si="46"/>
        <v>2038</v>
      </c>
      <c r="T50" s="423" t="str">
        <f t="shared" si="46"/>
        <v>Kokku</v>
      </c>
      <c r="U50" s="363"/>
      <c r="V50" s="363"/>
      <c r="X50" s="363"/>
      <c r="Y50" s="363"/>
      <c r="Z50" s="363"/>
      <c r="AA50" s="363"/>
      <c r="AB50" s="363"/>
      <c r="AC50" s="363"/>
      <c r="AD50" s="363"/>
      <c r="AE50" s="363"/>
      <c r="AF50" s="363"/>
      <c r="AG50" s="363"/>
      <c r="AH50" s="363"/>
    </row>
    <row r="51" spans="1:34" x14ac:dyDescent="0.3">
      <c r="A51" s="460" t="s">
        <v>291</v>
      </c>
      <c r="B51" s="460"/>
      <c r="C51" s="460"/>
      <c r="D51" s="425" t="s">
        <v>326</v>
      </c>
      <c r="E51" s="437">
        <f>'1. Projekti elluviimise kulud'!D49</f>
        <v>50000</v>
      </c>
      <c r="F51" s="437">
        <f>'1. Projekti elluviimise kulud'!E49</f>
        <v>1222522.28</v>
      </c>
      <c r="G51" s="437">
        <f>'1. Projekti elluviimise kulud'!F49</f>
        <v>0</v>
      </c>
      <c r="H51" s="378">
        <v>0</v>
      </c>
      <c r="I51" s="378">
        <v>0</v>
      </c>
      <c r="J51" s="378">
        <v>0</v>
      </c>
      <c r="K51" s="378">
        <v>0</v>
      </c>
      <c r="L51" s="378">
        <v>0</v>
      </c>
      <c r="M51" s="378">
        <v>0</v>
      </c>
      <c r="N51" s="378">
        <v>0</v>
      </c>
      <c r="O51" s="378">
        <v>0</v>
      </c>
      <c r="P51" s="378">
        <v>0</v>
      </c>
      <c r="Q51" s="378">
        <v>0</v>
      </c>
      <c r="R51" s="378">
        <v>0</v>
      </c>
      <c r="S51" s="378">
        <v>0</v>
      </c>
      <c r="T51" s="484">
        <f>SUM(E51:S51)</f>
        <v>1272522.28</v>
      </c>
      <c r="U51" s="363"/>
      <c r="V51" s="381"/>
      <c r="W51" s="381"/>
      <c r="X51" s="381"/>
      <c r="Y51" s="381"/>
      <c r="Z51" s="363"/>
      <c r="AA51" s="363"/>
      <c r="AB51" s="363"/>
      <c r="AC51" s="363"/>
      <c r="AD51" s="363"/>
      <c r="AE51" s="363"/>
      <c r="AF51" s="363"/>
      <c r="AG51" s="363"/>
      <c r="AH51" s="363"/>
    </row>
    <row r="52" spans="1:34" x14ac:dyDescent="0.3">
      <c r="A52" s="456"/>
      <c r="B52" s="456"/>
      <c r="C52" s="456"/>
      <c r="D52" s="457"/>
      <c r="E52" s="456"/>
      <c r="F52" s="456"/>
      <c r="G52" s="456"/>
      <c r="U52" s="363"/>
      <c r="V52" s="363"/>
      <c r="W52" s="363"/>
      <c r="X52" s="363"/>
      <c r="Y52" s="363"/>
      <c r="Z52" s="363"/>
      <c r="AA52" s="363"/>
      <c r="AB52" s="363"/>
      <c r="AC52" s="363"/>
      <c r="AD52" s="363"/>
      <c r="AE52" s="363"/>
      <c r="AF52" s="363"/>
      <c r="AG52" s="363"/>
      <c r="AH52" s="363"/>
    </row>
    <row r="53" spans="1:34" x14ac:dyDescent="0.3">
      <c r="A53" s="460" t="s">
        <v>292</v>
      </c>
      <c r="B53" s="460"/>
      <c r="C53" s="460"/>
      <c r="D53" s="425" t="s">
        <v>326</v>
      </c>
      <c r="E53" s="437">
        <f t="shared" ref="E53:S53" si="47">E30</f>
        <v>0</v>
      </c>
      <c r="F53" s="437">
        <f t="shared" si="47"/>
        <v>0</v>
      </c>
      <c r="G53" s="437">
        <f t="shared" si="47"/>
        <v>0</v>
      </c>
      <c r="H53" s="378">
        <f t="shared" si="47"/>
        <v>0</v>
      </c>
      <c r="I53" s="378">
        <f t="shared" si="47"/>
        <v>0</v>
      </c>
      <c r="J53" s="378">
        <f t="shared" si="47"/>
        <v>0</v>
      </c>
      <c r="K53" s="378">
        <f t="shared" si="47"/>
        <v>1026852.8904</v>
      </c>
      <c r="L53" s="378">
        <f t="shared" si="47"/>
        <v>1540279.3356000001</v>
      </c>
      <c r="M53" s="378">
        <f t="shared" si="47"/>
        <v>2053705.7808000001</v>
      </c>
      <c r="N53" s="378">
        <f t="shared" si="47"/>
        <v>2567132.2259999998</v>
      </c>
      <c r="O53" s="378">
        <f t="shared" si="47"/>
        <v>3080558.6712000002</v>
      </c>
      <c r="P53" s="378">
        <f t="shared" si="47"/>
        <v>3593985.1164000002</v>
      </c>
      <c r="Q53" s="378">
        <f t="shared" si="47"/>
        <v>4107411.5616000001</v>
      </c>
      <c r="R53" s="378">
        <f t="shared" si="47"/>
        <v>4620838.0067999996</v>
      </c>
      <c r="S53" s="378">
        <f t="shared" si="47"/>
        <v>4620838.0067999996</v>
      </c>
      <c r="T53" s="378">
        <f>SUM(E53:S53)</f>
        <v>27211601.595600002</v>
      </c>
      <c r="U53" s="363"/>
      <c r="V53" s="363"/>
      <c r="W53" s="363"/>
      <c r="X53" s="363"/>
      <c r="Y53" s="363"/>
      <c r="Z53" s="363"/>
      <c r="AA53" s="363"/>
      <c r="AB53" s="363"/>
      <c r="AC53" s="363"/>
      <c r="AD53" s="363"/>
      <c r="AE53" s="363"/>
      <c r="AF53" s="363"/>
      <c r="AG53" s="363"/>
      <c r="AH53" s="363"/>
    </row>
    <row r="54" spans="1:34" x14ac:dyDescent="0.3">
      <c r="A54" s="455"/>
      <c r="B54" s="456"/>
      <c r="C54" s="456"/>
      <c r="D54" s="457"/>
      <c r="E54" s="462"/>
      <c r="F54" s="462"/>
      <c r="G54" s="462"/>
      <c r="H54" s="385"/>
      <c r="I54" s="385"/>
      <c r="J54" s="385"/>
      <c r="K54" s="385"/>
      <c r="L54" s="385"/>
      <c r="M54" s="385"/>
      <c r="N54" s="385"/>
      <c r="O54" s="385"/>
      <c r="P54" s="385"/>
      <c r="Q54" s="385"/>
      <c r="R54" s="385"/>
      <c r="S54" s="385"/>
      <c r="T54" s="385"/>
      <c r="U54" s="363"/>
      <c r="V54" s="363"/>
      <c r="W54" s="363"/>
      <c r="X54" s="363"/>
      <c r="Y54" s="363"/>
      <c r="Z54" s="363"/>
      <c r="AA54" s="363"/>
      <c r="AB54" s="363"/>
      <c r="AC54" s="363"/>
      <c r="AD54" s="363"/>
      <c r="AE54" s="363"/>
      <c r="AF54" s="363"/>
      <c r="AG54" s="363"/>
      <c r="AH54" s="363"/>
    </row>
    <row r="55" spans="1:34" x14ac:dyDescent="0.3">
      <c r="A55" s="426" t="s">
        <v>249</v>
      </c>
      <c r="B55" s="426"/>
      <c r="C55" s="426"/>
      <c r="D55" s="425" t="s">
        <v>326</v>
      </c>
      <c r="E55" s="461">
        <f t="shared" ref="E55:S55" si="48">E53-E51</f>
        <v>-50000</v>
      </c>
      <c r="F55" s="461">
        <f t="shared" si="48"/>
        <v>-1222522.28</v>
      </c>
      <c r="G55" s="461">
        <f t="shared" si="48"/>
        <v>0</v>
      </c>
      <c r="H55" s="384">
        <f t="shared" si="48"/>
        <v>0</v>
      </c>
      <c r="I55" s="378">
        <f t="shared" si="48"/>
        <v>0</v>
      </c>
      <c r="J55" s="378">
        <f t="shared" si="48"/>
        <v>0</v>
      </c>
      <c r="K55" s="378">
        <f t="shared" si="48"/>
        <v>1026852.8904</v>
      </c>
      <c r="L55" s="378">
        <f t="shared" si="48"/>
        <v>1540279.3356000001</v>
      </c>
      <c r="M55" s="378">
        <f t="shared" si="48"/>
        <v>2053705.7808000001</v>
      </c>
      <c r="N55" s="378">
        <f t="shared" si="48"/>
        <v>2567132.2259999998</v>
      </c>
      <c r="O55" s="378">
        <f t="shared" si="48"/>
        <v>3080558.6712000002</v>
      </c>
      <c r="P55" s="378">
        <f t="shared" si="48"/>
        <v>3593985.1164000002</v>
      </c>
      <c r="Q55" s="378">
        <f t="shared" si="48"/>
        <v>4107411.5616000001</v>
      </c>
      <c r="R55" s="378">
        <f t="shared" si="48"/>
        <v>4620838.0067999996</v>
      </c>
      <c r="S55" s="378">
        <f t="shared" si="48"/>
        <v>4620838.0067999996</v>
      </c>
      <c r="T55" s="378">
        <f>SUM(E55:S55)</f>
        <v>25939079.315599997</v>
      </c>
      <c r="U55" s="363"/>
      <c r="V55" s="363"/>
      <c r="W55" s="363"/>
      <c r="X55" s="363"/>
      <c r="Y55" s="363"/>
      <c r="Z55" s="363"/>
      <c r="AA55" s="363"/>
      <c r="AB55" s="363"/>
      <c r="AC55" s="363"/>
      <c r="AD55" s="363"/>
      <c r="AE55" s="363"/>
      <c r="AF55" s="363"/>
      <c r="AG55" s="363"/>
      <c r="AH55" s="363"/>
    </row>
    <row r="56" spans="1:34" x14ac:dyDescent="0.3">
      <c r="A56" s="456"/>
      <c r="B56" s="456"/>
      <c r="C56" s="456"/>
      <c r="D56" s="457"/>
      <c r="E56" s="463"/>
      <c r="F56" s="463"/>
      <c r="G56" s="463"/>
      <c r="H56" s="386"/>
      <c r="I56" s="385"/>
      <c r="J56" s="385"/>
      <c r="K56" s="385"/>
      <c r="L56" s="385"/>
      <c r="M56" s="385"/>
      <c r="N56" s="385"/>
      <c r="O56" s="385"/>
      <c r="P56" s="385"/>
      <c r="Q56" s="385"/>
      <c r="R56" s="385"/>
      <c r="S56" s="385"/>
      <c r="T56" s="385"/>
      <c r="U56" s="363"/>
      <c r="V56" s="363"/>
      <c r="W56" s="363"/>
      <c r="X56" s="363"/>
      <c r="Y56" s="363"/>
      <c r="Z56" s="363"/>
      <c r="AA56" s="363"/>
      <c r="AB56" s="363"/>
      <c r="AC56" s="363"/>
      <c r="AD56" s="363"/>
      <c r="AE56" s="363"/>
      <c r="AF56" s="363"/>
      <c r="AG56" s="363"/>
      <c r="AH56" s="363"/>
    </row>
    <row r="57" spans="1:34" ht="15.5" x14ac:dyDescent="0.35">
      <c r="A57" s="464" t="s">
        <v>293</v>
      </c>
      <c r="B57" s="464"/>
      <c r="C57" s="464"/>
      <c r="D57" s="425" t="s">
        <v>253</v>
      </c>
      <c r="E57" s="461">
        <f>E55</f>
        <v>-50000</v>
      </c>
      <c r="F57" s="461">
        <f t="shared" ref="F57:S57" si="49">E57+F55</f>
        <v>-1272522.28</v>
      </c>
      <c r="G57" s="461">
        <f t="shared" si="49"/>
        <v>-1272522.28</v>
      </c>
      <c r="H57" s="384">
        <f t="shared" si="49"/>
        <v>-1272522.28</v>
      </c>
      <c r="I57" s="384">
        <f t="shared" si="49"/>
        <v>-1272522.28</v>
      </c>
      <c r="J57" s="384">
        <f t="shared" si="49"/>
        <v>-1272522.28</v>
      </c>
      <c r="K57" s="384">
        <f t="shared" si="49"/>
        <v>-245669.38959999999</v>
      </c>
      <c r="L57" s="384">
        <f t="shared" si="49"/>
        <v>1294609.946</v>
      </c>
      <c r="M57" s="384">
        <f t="shared" si="49"/>
        <v>3348315.7268000003</v>
      </c>
      <c r="N57" s="384">
        <f t="shared" si="49"/>
        <v>5915447.9528000001</v>
      </c>
      <c r="O57" s="384">
        <f t="shared" si="49"/>
        <v>8996006.6239999998</v>
      </c>
      <c r="P57" s="384">
        <f t="shared" si="49"/>
        <v>12589991.7404</v>
      </c>
      <c r="Q57" s="384">
        <f t="shared" si="49"/>
        <v>16697403.301999999</v>
      </c>
      <c r="R57" s="384">
        <f t="shared" si="49"/>
        <v>21318241.308799997</v>
      </c>
      <c r="S57" s="384">
        <f t="shared" si="49"/>
        <v>25939079.315599997</v>
      </c>
      <c r="T57" s="384"/>
      <c r="U57" s="363"/>
      <c r="V57" s="363"/>
      <c r="W57" s="363"/>
      <c r="X57" s="363"/>
      <c r="Y57" s="363"/>
      <c r="Z57" s="363"/>
      <c r="AA57" s="363"/>
      <c r="AB57" s="363"/>
      <c r="AC57" s="363"/>
      <c r="AD57" s="363"/>
      <c r="AE57" s="363"/>
      <c r="AF57" s="363"/>
      <c r="AG57" s="363"/>
      <c r="AH57" s="363"/>
    </row>
    <row r="58" spans="1:34" x14ac:dyDescent="0.3">
      <c r="A58" s="456"/>
      <c r="B58" s="456"/>
      <c r="C58" s="456"/>
      <c r="D58" s="457"/>
      <c r="E58" s="456"/>
      <c r="F58" s="456"/>
      <c r="G58" s="456"/>
      <c r="U58" s="363"/>
      <c r="V58" s="363"/>
      <c r="W58" s="363"/>
      <c r="X58" s="363"/>
      <c r="Y58" s="363"/>
      <c r="Z58" s="363"/>
      <c r="AA58" s="363"/>
      <c r="AB58" s="363"/>
      <c r="AC58" s="363"/>
      <c r="AD58" s="363"/>
      <c r="AE58" s="363"/>
      <c r="AF58" s="363"/>
      <c r="AG58" s="363"/>
      <c r="AH58" s="363"/>
    </row>
    <row r="59" spans="1:34" x14ac:dyDescent="0.3">
      <c r="A59" s="456" t="s">
        <v>294</v>
      </c>
      <c r="B59" s="456"/>
      <c r="C59" s="456"/>
      <c r="D59" s="465">
        <v>0.04</v>
      </c>
      <c r="E59" s="456"/>
      <c r="F59" s="456"/>
      <c r="G59" s="456"/>
      <c r="U59" s="363"/>
      <c r="V59" s="363"/>
      <c r="W59" s="363"/>
      <c r="X59" s="363"/>
      <c r="Y59" s="363"/>
      <c r="Z59" s="363"/>
      <c r="AA59" s="363"/>
      <c r="AB59" s="363"/>
      <c r="AC59" s="363"/>
      <c r="AD59" s="363"/>
      <c r="AE59" s="363"/>
      <c r="AF59" s="363"/>
      <c r="AG59" s="363"/>
      <c r="AH59" s="363"/>
    </row>
    <row r="60" spans="1:34" ht="15.5" x14ac:dyDescent="0.35">
      <c r="A60" s="464" t="s">
        <v>295</v>
      </c>
      <c r="B60" s="464"/>
      <c r="C60" s="464"/>
      <c r="D60" s="369"/>
      <c r="E60" s="387">
        <v>1</v>
      </c>
      <c r="F60" s="387">
        <f>1+D59</f>
        <v>1.04</v>
      </c>
      <c r="G60" s="387">
        <f>$F$60*F60</f>
        <v>1.0816000000000001</v>
      </c>
      <c r="H60" s="387">
        <f>$F$60*G60</f>
        <v>1.1248640000000001</v>
      </c>
      <c r="I60" s="387">
        <f t="shared" ref="I60:S60" si="50">$F$60*H60</f>
        <v>1.1698585600000002</v>
      </c>
      <c r="J60" s="387">
        <f t="shared" si="50"/>
        <v>1.2166529024000003</v>
      </c>
      <c r="K60" s="387">
        <f t="shared" si="50"/>
        <v>1.2653190184960004</v>
      </c>
      <c r="L60" s="387">
        <f t="shared" si="50"/>
        <v>1.3159317792358405</v>
      </c>
      <c r="M60" s="387">
        <f t="shared" si="50"/>
        <v>1.3685690504052741</v>
      </c>
      <c r="N60" s="387">
        <f t="shared" si="50"/>
        <v>1.4233118124214852</v>
      </c>
      <c r="O60" s="387">
        <f t="shared" si="50"/>
        <v>1.4802442849183446</v>
      </c>
      <c r="P60" s="387">
        <f t="shared" si="50"/>
        <v>1.5394540563150785</v>
      </c>
      <c r="Q60" s="387">
        <f t="shared" si="50"/>
        <v>1.6010322185676817</v>
      </c>
      <c r="R60" s="387">
        <f t="shared" si="50"/>
        <v>1.6650735073103891</v>
      </c>
      <c r="S60" s="387">
        <f t="shared" si="50"/>
        <v>1.7316764476028046</v>
      </c>
      <c r="U60" s="363"/>
      <c r="V60" s="363"/>
      <c r="W60" s="363"/>
      <c r="X60" s="363"/>
      <c r="Y60" s="363"/>
      <c r="Z60" s="363"/>
      <c r="AA60" s="363"/>
      <c r="AB60" s="363"/>
      <c r="AC60" s="363"/>
      <c r="AD60" s="363"/>
      <c r="AE60" s="363"/>
      <c r="AF60" s="363"/>
      <c r="AG60" s="363"/>
      <c r="AH60" s="363"/>
    </row>
    <row r="61" spans="1:34" ht="15.5" x14ac:dyDescent="0.35">
      <c r="A61" s="466"/>
      <c r="B61" s="466"/>
      <c r="C61" s="466"/>
      <c r="D61" s="467"/>
      <c r="E61" s="388"/>
      <c r="F61" s="388"/>
      <c r="G61" s="388"/>
      <c r="H61" s="388"/>
      <c r="I61" s="388"/>
      <c r="J61" s="388"/>
      <c r="K61" s="388"/>
      <c r="L61" s="388"/>
      <c r="M61" s="388"/>
      <c r="N61" s="388"/>
      <c r="O61" s="388"/>
      <c r="P61" s="388"/>
      <c r="Q61" s="388"/>
      <c r="R61" s="388"/>
      <c r="S61" s="388"/>
      <c r="U61" s="363"/>
      <c r="V61" s="363"/>
      <c r="W61" s="363"/>
      <c r="X61" s="363"/>
      <c r="Y61" s="363"/>
      <c r="Z61" s="363"/>
      <c r="AA61" s="363"/>
      <c r="AB61" s="363"/>
      <c r="AC61" s="363"/>
      <c r="AD61" s="363"/>
      <c r="AE61" s="363"/>
      <c r="AF61" s="363"/>
      <c r="AG61" s="363"/>
      <c r="AH61" s="363"/>
    </row>
    <row r="62" spans="1:34" ht="15.5" x14ac:dyDescent="0.35">
      <c r="A62" s="464" t="s">
        <v>296</v>
      </c>
      <c r="B62" s="464"/>
      <c r="C62" s="464"/>
      <c r="D62" s="369"/>
      <c r="E62" s="437">
        <f t="shared" ref="E62:S62" si="51">E51/E60</f>
        <v>50000</v>
      </c>
      <c r="F62" s="437">
        <f t="shared" si="51"/>
        <v>1175502.1923076923</v>
      </c>
      <c r="G62" s="437">
        <f t="shared" si="51"/>
        <v>0</v>
      </c>
      <c r="H62" s="378">
        <f t="shared" si="51"/>
        <v>0</v>
      </c>
      <c r="I62" s="378">
        <f t="shared" si="51"/>
        <v>0</v>
      </c>
      <c r="J62" s="378">
        <f t="shared" si="51"/>
        <v>0</v>
      </c>
      <c r="K62" s="378">
        <f t="shared" si="51"/>
        <v>0</v>
      </c>
      <c r="L62" s="378">
        <f t="shared" si="51"/>
        <v>0</v>
      </c>
      <c r="M62" s="378">
        <f t="shared" si="51"/>
        <v>0</v>
      </c>
      <c r="N62" s="378">
        <f t="shared" si="51"/>
        <v>0</v>
      </c>
      <c r="O62" s="378">
        <f t="shared" si="51"/>
        <v>0</v>
      </c>
      <c r="P62" s="378">
        <f t="shared" si="51"/>
        <v>0</v>
      </c>
      <c r="Q62" s="378">
        <f t="shared" si="51"/>
        <v>0</v>
      </c>
      <c r="R62" s="378">
        <f t="shared" si="51"/>
        <v>0</v>
      </c>
      <c r="S62" s="378">
        <f t="shared" si="51"/>
        <v>0</v>
      </c>
      <c r="T62" s="378">
        <f>SUM(E62:S62)</f>
        <v>1225502.1923076923</v>
      </c>
      <c r="U62" s="363"/>
      <c r="V62" s="363"/>
      <c r="W62" s="363"/>
      <c r="X62" s="363"/>
      <c r="Y62" s="363"/>
      <c r="Z62" s="363"/>
      <c r="AA62" s="363"/>
      <c r="AB62" s="363"/>
      <c r="AC62" s="363"/>
      <c r="AD62" s="363"/>
      <c r="AE62" s="363"/>
      <c r="AF62" s="363"/>
      <c r="AG62" s="363"/>
      <c r="AH62" s="363"/>
    </row>
    <row r="63" spans="1:34" ht="15.5" x14ac:dyDescent="0.35">
      <c r="A63" s="466"/>
      <c r="B63" s="466"/>
      <c r="C63" s="466"/>
      <c r="D63" s="467"/>
      <c r="E63" s="388"/>
      <c r="F63" s="388"/>
      <c r="G63" s="388"/>
      <c r="H63" s="388"/>
      <c r="I63" s="388"/>
      <c r="J63" s="388"/>
      <c r="K63" s="388"/>
      <c r="L63" s="388"/>
      <c r="M63" s="388"/>
      <c r="N63" s="388"/>
      <c r="O63" s="388"/>
      <c r="P63" s="388"/>
      <c r="Q63" s="388"/>
      <c r="R63" s="388"/>
      <c r="S63" s="388"/>
      <c r="U63" s="363"/>
      <c r="V63" s="363"/>
      <c r="W63" s="363"/>
      <c r="X63" s="363"/>
      <c r="Y63" s="363"/>
      <c r="Z63" s="363"/>
      <c r="AA63" s="363"/>
      <c r="AB63" s="363"/>
      <c r="AC63" s="363"/>
      <c r="AD63" s="363"/>
      <c r="AE63" s="363"/>
      <c r="AF63" s="363"/>
      <c r="AG63" s="363"/>
      <c r="AH63" s="363"/>
    </row>
    <row r="64" spans="1:34" ht="15.5" x14ac:dyDescent="0.35">
      <c r="A64" s="464" t="s">
        <v>297</v>
      </c>
      <c r="B64" s="464"/>
      <c r="C64" s="464"/>
      <c r="D64" s="425" t="s">
        <v>326</v>
      </c>
      <c r="E64" s="437">
        <f t="shared" ref="E64:S64" si="52">E53/E60</f>
        <v>0</v>
      </c>
      <c r="F64" s="437">
        <f t="shared" si="52"/>
        <v>0</v>
      </c>
      <c r="G64" s="437">
        <f t="shared" si="52"/>
        <v>0</v>
      </c>
      <c r="H64" s="378">
        <f t="shared" si="52"/>
        <v>0</v>
      </c>
      <c r="I64" s="378">
        <f t="shared" si="52"/>
        <v>0</v>
      </c>
      <c r="J64" s="378">
        <f t="shared" si="52"/>
        <v>0</v>
      </c>
      <c r="K64" s="378">
        <f t="shared" si="52"/>
        <v>811536.75507110532</v>
      </c>
      <c r="L64" s="378">
        <f t="shared" si="52"/>
        <v>1170485.7044294789</v>
      </c>
      <c r="M64" s="378">
        <f t="shared" si="52"/>
        <v>1500622.6979865113</v>
      </c>
      <c r="N64" s="378">
        <f t="shared" si="52"/>
        <v>1803633.0504645563</v>
      </c>
      <c r="O64" s="378">
        <f t="shared" si="52"/>
        <v>2081115.0582283346</v>
      </c>
      <c r="P64" s="378">
        <f t="shared" si="52"/>
        <v>2334584.1999356314</v>
      </c>
      <c r="Q64" s="378">
        <f t="shared" si="52"/>
        <v>2565477.1427864078</v>
      </c>
      <c r="R64" s="378">
        <f t="shared" si="52"/>
        <v>2775155.5631102966</v>
      </c>
      <c r="S64" s="378">
        <f t="shared" si="52"/>
        <v>2668418.8106829775</v>
      </c>
      <c r="T64" s="378">
        <f>SUM(E64:S64)</f>
        <v>17711028.9826953</v>
      </c>
      <c r="U64" s="363"/>
      <c r="V64" s="363"/>
      <c r="W64" s="363"/>
      <c r="X64" s="363"/>
      <c r="Y64" s="363"/>
      <c r="Z64" s="363"/>
      <c r="AA64" s="363"/>
      <c r="AB64" s="363"/>
      <c r="AC64" s="363"/>
      <c r="AD64" s="363"/>
      <c r="AE64" s="363"/>
      <c r="AF64" s="363"/>
      <c r="AG64" s="363"/>
      <c r="AH64" s="363"/>
    </row>
    <row r="65" spans="1:34" x14ac:dyDescent="0.3">
      <c r="A65" s="456"/>
      <c r="B65" s="456"/>
      <c r="C65" s="456"/>
      <c r="D65" s="457"/>
      <c r="E65" s="456"/>
      <c r="F65" s="456"/>
      <c r="G65" s="456"/>
      <c r="U65" s="363"/>
      <c r="V65" s="363"/>
      <c r="W65" s="363"/>
      <c r="X65" s="363"/>
      <c r="Y65" s="363"/>
      <c r="Z65" s="363"/>
      <c r="AA65" s="363"/>
      <c r="AB65" s="363"/>
      <c r="AC65" s="363"/>
      <c r="AD65" s="363"/>
      <c r="AE65" s="363"/>
      <c r="AF65" s="363"/>
      <c r="AG65" s="363"/>
      <c r="AH65" s="363"/>
    </row>
    <row r="66" spans="1:34" ht="15.5" x14ac:dyDescent="0.35">
      <c r="A66" s="464" t="s">
        <v>298</v>
      </c>
      <c r="B66" s="464"/>
      <c r="C66" s="464"/>
      <c r="D66" s="425" t="s">
        <v>326</v>
      </c>
      <c r="E66" s="461">
        <f t="shared" ref="E66:S66" si="53">E64-E62</f>
        <v>-50000</v>
      </c>
      <c r="F66" s="461">
        <f t="shared" si="53"/>
        <v>-1175502.1923076923</v>
      </c>
      <c r="G66" s="461">
        <f t="shared" si="53"/>
        <v>0</v>
      </c>
      <c r="H66" s="384">
        <f t="shared" si="53"/>
        <v>0</v>
      </c>
      <c r="I66" s="384">
        <f t="shared" si="53"/>
        <v>0</v>
      </c>
      <c r="J66" s="384">
        <f t="shared" si="53"/>
        <v>0</v>
      </c>
      <c r="K66" s="384">
        <f t="shared" si="53"/>
        <v>811536.75507110532</v>
      </c>
      <c r="L66" s="384">
        <f t="shared" si="53"/>
        <v>1170485.7044294789</v>
      </c>
      <c r="M66" s="384">
        <f t="shared" si="53"/>
        <v>1500622.6979865113</v>
      </c>
      <c r="N66" s="384">
        <f t="shared" si="53"/>
        <v>1803633.0504645563</v>
      </c>
      <c r="O66" s="384">
        <f t="shared" si="53"/>
        <v>2081115.0582283346</v>
      </c>
      <c r="P66" s="384">
        <f t="shared" si="53"/>
        <v>2334584.1999356314</v>
      </c>
      <c r="Q66" s="384">
        <f t="shared" si="53"/>
        <v>2565477.1427864078</v>
      </c>
      <c r="R66" s="384">
        <f t="shared" si="53"/>
        <v>2775155.5631102966</v>
      </c>
      <c r="S66" s="384">
        <f t="shared" si="53"/>
        <v>2668418.8106829775</v>
      </c>
      <c r="T66" s="378">
        <f>SUM(E66:S66)</f>
        <v>16485526.790387608</v>
      </c>
      <c r="U66" s="363"/>
      <c r="V66" s="363"/>
      <c r="W66" s="363"/>
      <c r="X66" s="363"/>
      <c r="Y66" s="363"/>
      <c r="Z66" s="363"/>
      <c r="AA66" s="363"/>
      <c r="AB66" s="363"/>
      <c r="AC66" s="363"/>
      <c r="AD66" s="363"/>
      <c r="AE66" s="363"/>
      <c r="AF66" s="363"/>
      <c r="AG66" s="363"/>
      <c r="AH66" s="363"/>
    </row>
    <row r="67" spans="1:34" ht="16" thickBot="1" x14ac:dyDescent="0.4">
      <c r="A67" s="466"/>
      <c r="B67" s="466"/>
      <c r="C67" s="466"/>
      <c r="D67" s="389"/>
      <c r="E67" s="389"/>
      <c r="F67" s="389"/>
      <c r="G67" s="389"/>
      <c r="H67" s="389"/>
      <c r="I67" s="389"/>
      <c r="J67" s="389"/>
      <c r="T67" s="390" t="s">
        <v>250</v>
      </c>
      <c r="U67" s="363"/>
      <c r="V67" s="363"/>
      <c r="W67" s="363"/>
      <c r="X67" s="363"/>
      <c r="Y67" s="363"/>
      <c r="Z67" s="363"/>
      <c r="AA67" s="363"/>
      <c r="AB67" s="363"/>
      <c r="AC67" s="363"/>
      <c r="AD67" s="363"/>
      <c r="AE67" s="363"/>
      <c r="AF67" s="363"/>
      <c r="AG67" s="363"/>
      <c r="AH67" s="363"/>
    </row>
    <row r="68" spans="1:34" ht="31" x14ac:dyDescent="0.35">
      <c r="A68" s="468" t="s">
        <v>299</v>
      </c>
      <c r="B68" s="468"/>
      <c r="C68" s="468"/>
      <c r="D68" s="444" t="s">
        <v>253</v>
      </c>
      <c r="E68" s="469">
        <f>E66</f>
        <v>-50000</v>
      </c>
      <c r="F68" s="469">
        <f t="shared" ref="F68:S68" si="54">E68+F66</f>
        <v>-1225502.1923076923</v>
      </c>
      <c r="G68" s="469">
        <f t="shared" si="54"/>
        <v>-1225502.1923076923</v>
      </c>
      <c r="H68" s="391">
        <f t="shared" si="54"/>
        <v>-1225502.1923076923</v>
      </c>
      <c r="I68" s="391">
        <f t="shared" si="54"/>
        <v>-1225502.1923076923</v>
      </c>
      <c r="J68" s="391">
        <f t="shared" si="54"/>
        <v>-1225502.1923076923</v>
      </c>
      <c r="K68" s="391">
        <f t="shared" si="54"/>
        <v>-413965.43723658693</v>
      </c>
      <c r="L68" s="391">
        <f t="shared" si="54"/>
        <v>756520.26719289192</v>
      </c>
      <c r="M68" s="391">
        <f t="shared" si="54"/>
        <v>2257142.9651794033</v>
      </c>
      <c r="N68" s="391">
        <f t="shared" si="54"/>
        <v>4060776.0156439599</v>
      </c>
      <c r="O68" s="391">
        <f t="shared" si="54"/>
        <v>6141891.0738722943</v>
      </c>
      <c r="P68" s="391">
        <f t="shared" si="54"/>
        <v>8476475.2738079261</v>
      </c>
      <c r="Q68" s="391">
        <f t="shared" si="54"/>
        <v>11041952.416594334</v>
      </c>
      <c r="R68" s="391">
        <f t="shared" si="54"/>
        <v>13817107.97970463</v>
      </c>
      <c r="S68" s="391">
        <f t="shared" si="54"/>
        <v>16485526.790387608</v>
      </c>
      <c r="T68" s="392">
        <f>MAX(E68:S68)</f>
        <v>16485526.790387608</v>
      </c>
      <c r="U68" s="363"/>
      <c r="V68" s="363"/>
      <c r="W68" s="363"/>
      <c r="X68" s="363"/>
      <c r="Y68" s="363"/>
      <c r="Z68" s="363"/>
      <c r="AA68" s="363"/>
      <c r="AB68" s="363"/>
      <c r="AC68" s="363"/>
      <c r="AD68" s="363"/>
      <c r="AE68" s="363"/>
      <c r="AF68" s="363"/>
      <c r="AG68" s="363"/>
      <c r="AH68" s="363"/>
    </row>
    <row r="69" spans="1:34" x14ac:dyDescent="0.3">
      <c r="A69" s="470"/>
      <c r="B69" s="470"/>
      <c r="C69" s="470"/>
      <c r="D69" s="471"/>
      <c r="E69" s="470"/>
      <c r="F69" s="470"/>
      <c r="G69" s="470"/>
      <c r="H69" s="393"/>
      <c r="I69" s="393"/>
      <c r="J69" s="393"/>
      <c r="K69" s="393"/>
      <c r="L69" s="393"/>
      <c r="M69" s="393"/>
      <c r="N69" s="393"/>
      <c r="O69" s="393"/>
      <c r="P69" s="393"/>
      <c r="Q69" s="393"/>
      <c r="R69" s="393"/>
      <c r="S69" s="393"/>
      <c r="T69" s="393"/>
      <c r="U69" s="363"/>
      <c r="V69" s="363"/>
      <c r="W69" s="363"/>
      <c r="X69" s="363"/>
      <c r="Y69" s="363"/>
      <c r="Z69" s="363"/>
      <c r="AA69" s="363"/>
      <c r="AB69" s="363"/>
      <c r="AC69" s="363"/>
      <c r="AD69" s="363"/>
      <c r="AE69" s="363"/>
      <c r="AF69" s="363"/>
      <c r="AG69" s="363"/>
      <c r="AH69" s="363"/>
    </row>
    <row r="70" spans="1:34" ht="14.5" thickBot="1" x14ac:dyDescent="0.35">
      <c r="A70" s="470"/>
      <c r="B70" s="470"/>
      <c r="C70" s="470"/>
      <c r="D70" s="471"/>
      <c r="E70" s="470"/>
      <c r="F70" s="470"/>
      <c r="G70" s="470"/>
      <c r="H70" s="393"/>
      <c r="I70" s="393"/>
      <c r="J70" s="393"/>
      <c r="K70" s="393"/>
      <c r="L70" s="393"/>
      <c r="M70" s="393"/>
      <c r="N70" s="393"/>
      <c r="O70" s="393"/>
      <c r="P70" s="393"/>
      <c r="Q70" s="393"/>
      <c r="R70" s="393"/>
      <c r="S70" s="393"/>
      <c r="T70" s="393"/>
      <c r="U70" s="363"/>
      <c r="V70" s="363"/>
      <c r="W70" s="363"/>
      <c r="X70" s="363"/>
      <c r="Y70" s="363"/>
      <c r="Z70" s="363"/>
      <c r="AA70" s="363"/>
      <c r="AB70" s="363"/>
      <c r="AC70" s="363"/>
      <c r="AD70" s="363"/>
      <c r="AE70" s="363"/>
      <c r="AF70" s="363"/>
      <c r="AG70" s="363"/>
      <c r="AH70" s="363"/>
    </row>
    <row r="71" spans="1:34" ht="16" thickBot="1" x14ac:dyDescent="0.4">
      <c r="A71" s="470"/>
      <c r="B71" s="758" t="s">
        <v>75</v>
      </c>
      <c r="C71" s="759"/>
      <c r="D71" s="745" t="s">
        <v>251</v>
      </c>
      <c r="E71" s="746"/>
      <c r="F71" s="393"/>
      <c r="G71" s="393"/>
      <c r="H71" s="393"/>
      <c r="I71" s="393"/>
      <c r="J71" s="393"/>
      <c r="K71" s="393"/>
      <c r="L71" s="393"/>
      <c r="M71" s="393"/>
      <c r="N71" s="393"/>
      <c r="O71" s="393"/>
      <c r="P71" s="393"/>
      <c r="Q71" s="393"/>
      <c r="R71" s="393"/>
      <c r="S71" s="393"/>
      <c r="U71" s="363"/>
      <c r="V71" s="363"/>
      <c r="W71" s="363"/>
      <c r="X71" s="363"/>
      <c r="Y71" s="363"/>
      <c r="Z71" s="363"/>
      <c r="AA71" s="363"/>
      <c r="AB71" s="363"/>
      <c r="AC71" s="363"/>
      <c r="AD71" s="363"/>
      <c r="AE71" s="363"/>
      <c r="AF71" s="363"/>
    </row>
    <row r="72" spans="1:34" ht="50.25" customHeight="1" thickBot="1" x14ac:dyDescent="0.4">
      <c r="A72" s="394"/>
      <c r="B72" s="760"/>
      <c r="C72" s="761"/>
      <c r="D72" s="762"/>
      <c r="E72" s="763"/>
      <c r="F72" s="764"/>
      <c r="G72" s="764"/>
      <c r="H72" s="393"/>
      <c r="I72" s="393"/>
      <c r="J72" s="393"/>
      <c r="K72" s="393"/>
      <c r="L72" s="393"/>
      <c r="M72" s="393"/>
      <c r="N72" s="393"/>
      <c r="O72" s="393"/>
      <c r="P72" s="393"/>
      <c r="Q72" s="393"/>
      <c r="R72" s="393"/>
      <c r="S72" s="393"/>
      <c r="U72" s="363"/>
      <c r="V72" s="363"/>
      <c r="W72" s="363"/>
      <c r="X72" s="363"/>
      <c r="Y72" s="363"/>
      <c r="Z72" s="363"/>
      <c r="AA72" s="363"/>
      <c r="AB72" s="363"/>
      <c r="AC72" s="363"/>
      <c r="AD72" s="363"/>
      <c r="AE72" s="363"/>
      <c r="AF72" s="363"/>
    </row>
    <row r="73" spans="1:34" ht="15.5" x14ac:dyDescent="0.35">
      <c r="A73" s="470"/>
      <c r="B73" s="747" t="s">
        <v>252</v>
      </c>
      <c r="C73" s="748"/>
      <c r="D73" s="472">
        <f>T68</f>
        <v>16485526.790387608</v>
      </c>
      <c r="E73" s="395" t="s">
        <v>253</v>
      </c>
      <c r="F73" s="396"/>
      <c r="G73" s="397">
        <f>D75/4%</f>
        <v>0</v>
      </c>
      <c r="H73" s="397" t="e">
        <f>#REF!/4%</f>
        <v>#REF!</v>
      </c>
      <c r="I73" s="393"/>
      <c r="J73" s="393"/>
      <c r="K73" s="393"/>
      <c r="L73" s="393"/>
      <c r="M73" s="393"/>
      <c r="N73" s="393"/>
      <c r="O73" s="393"/>
      <c r="P73" s="393"/>
      <c r="Q73" s="393"/>
      <c r="R73" s="393"/>
      <c r="S73" s="393"/>
      <c r="U73" s="363"/>
      <c r="V73" s="363"/>
      <c r="W73" s="363"/>
      <c r="X73" s="363"/>
      <c r="Y73" s="363"/>
      <c r="Z73" s="363"/>
      <c r="AA73" s="363"/>
      <c r="AB73" s="363"/>
      <c r="AC73" s="363"/>
      <c r="AD73" s="363"/>
      <c r="AE73" s="363"/>
      <c r="AF73" s="363"/>
    </row>
    <row r="74" spans="1:34" ht="15.5" x14ac:dyDescent="0.35">
      <c r="A74" s="470"/>
      <c r="B74" s="749" t="s">
        <v>254</v>
      </c>
      <c r="C74" s="750"/>
      <c r="D74" s="518">
        <f>T64/T62</f>
        <v>14.452058179793541</v>
      </c>
      <c r="E74" s="398"/>
      <c r="F74" s="396"/>
      <c r="G74" s="399"/>
      <c r="H74" s="393"/>
      <c r="I74" s="393"/>
      <c r="J74" s="393"/>
      <c r="K74" s="393"/>
      <c r="L74" s="393"/>
      <c r="M74" s="393"/>
      <c r="N74" s="393"/>
      <c r="O74" s="393"/>
      <c r="P74" s="393"/>
      <c r="Q74" s="393"/>
      <c r="R74" s="393"/>
      <c r="S74" s="393"/>
      <c r="U74" s="363"/>
      <c r="V74" s="363"/>
      <c r="W74" s="363"/>
      <c r="X74" s="363"/>
      <c r="Y74" s="363"/>
      <c r="Z74" s="363"/>
      <c r="AA74" s="363"/>
      <c r="AB74" s="363"/>
      <c r="AC74" s="363"/>
      <c r="AD74" s="363"/>
      <c r="AE74" s="363"/>
      <c r="AF74" s="363"/>
    </row>
    <row r="75" spans="1:34" ht="15.5" hidden="1" x14ac:dyDescent="0.35">
      <c r="A75" s="470"/>
      <c r="B75" s="749" t="s">
        <v>255</v>
      </c>
      <c r="C75" s="750"/>
      <c r="D75" s="400"/>
      <c r="E75" s="398"/>
      <c r="F75" s="396"/>
      <c r="G75" s="399"/>
      <c r="H75" s="393"/>
      <c r="I75" s="393"/>
      <c r="J75" s="393"/>
      <c r="K75" s="393"/>
      <c r="L75" s="393"/>
      <c r="M75" s="393"/>
      <c r="N75" s="393"/>
      <c r="O75" s="393"/>
      <c r="P75" s="393"/>
      <c r="Q75" s="393"/>
      <c r="R75" s="393"/>
      <c r="S75" s="393"/>
      <c r="U75" s="363"/>
      <c r="V75" s="363"/>
      <c r="W75" s="363"/>
      <c r="X75" s="363"/>
      <c r="Y75" s="363"/>
      <c r="Z75" s="363"/>
      <c r="AA75" s="363"/>
      <c r="AB75" s="363"/>
      <c r="AC75" s="363"/>
      <c r="AD75" s="363"/>
      <c r="AE75" s="363"/>
      <c r="AF75" s="363"/>
    </row>
    <row r="76" spans="1:34" ht="16" thickBot="1" x14ac:dyDescent="0.4">
      <c r="A76" s="470"/>
      <c r="B76" s="751" t="s">
        <v>256</v>
      </c>
      <c r="C76" s="752"/>
      <c r="D76" s="401">
        <f>COUNTIF(F68:S68,"&lt;0")</f>
        <v>6</v>
      </c>
      <c r="E76" s="402" t="s">
        <v>257</v>
      </c>
      <c r="F76" s="403"/>
      <c r="G76" s="399"/>
      <c r="H76" s="393"/>
      <c r="I76" s="393"/>
      <c r="J76" s="393"/>
      <c r="K76" s="393"/>
      <c r="L76" s="393"/>
      <c r="M76" s="393"/>
      <c r="N76" s="393"/>
      <c r="O76" s="393"/>
      <c r="P76" s="393"/>
      <c r="Q76" s="393"/>
      <c r="R76" s="393"/>
      <c r="S76" s="393"/>
      <c r="U76" s="363"/>
      <c r="V76" s="363"/>
      <c r="W76" s="363"/>
      <c r="X76" s="363"/>
      <c r="Y76" s="363"/>
      <c r="Z76" s="363"/>
      <c r="AA76" s="363"/>
      <c r="AB76" s="363"/>
      <c r="AC76" s="363"/>
      <c r="AD76" s="363"/>
      <c r="AE76" s="363"/>
      <c r="AF76" s="363"/>
    </row>
    <row r="77" spans="1:34" x14ac:dyDescent="0.3">
      <c r="U77" s="363"/>
      <c r="V77" s="363"/>
      <c r="W77" s="363"/>
      <c r="X77" s="363"/>
      <c r="Y77" s="363"/>
      <c r="Z77" s="363"/>
      <c r="AA77" s="363"/>
      <c r="AB77" s="363"/>
      <c r="AC77" s="363"/>
      <c r="AD77" s="363"/>
      <c r="AE77" s="363"/>
      <c r="AF77" s="363"/>
      <c r="AG77" s="363"/>
      <c r="AH77" s="363"/>
    </row>
    <row r="78" spans="1:34" x14ac:dyDescent="0.3">
      <c r="G78" s="483">
        <f>D75*100/4</f>
        <v>0</v>
      </c>
      <c r="U78" s="363"/>
      <c r="V78" s="363"/>
      <c r="W78" s="363"/>
      <c r="X78" s="363"/>
      <c r="Y78" s="363"/>
      <c r="Z78" s="363"/>
      <c r="AA78" s="363"/>
      <c r="AB78" s="363"/>
      <c r="AC78" s="363"/>
      <c r="AD78" s="363"/>
      <c r="AE78" s="363"/>
      <c r="AF78" s="363"/>
      <c r="AG78" s="363"/>
      <c r="AH78" s="363"/>
    </row>
    <row r="79" spans="1:34" x14ac:dyDescent="0.3">
      <c r="U79" s="363"/>
      <c r="V79" s="363"/>
      <c r="W79" s="363"/>
      <c r="X79" s="363"/>
      <c r="Y79" s="363"/>
      <c r="Z79" s="363"/>
      <c r="AA79" s="363"/>
      <c r="AB79" s="363"/>
      <c r="AC79" s="363"/>
      <c r="AD79" s="363"/>
      <c r="AE79" s="363"/>
      <c r="AF79" s="363"/>
      <c r="AG79" s="363"/>
      <c r="AH79" s="363"/>
    </row>
    <row r="80" spans="1:34" hidden="1" x14ac:dyDescent="0.3">
      <c r="A80" s="363" t="s">
        <v>258</v>
      </c>
      <c r="U80" s="363"/>
      <c r="V80" s="363"/>
      <c r="W80" s="363"/>
      <c r="X80" s="363"/>
      <c r="Y80" s="363"/>
      <c r="Z80" s="363"/>
      <c r="AA80" s="363"/>
      <c r="AB80" s="363"/>
      <c r="AC80" s="363"/>
      <c r="AD80" s="363"/>
      <c r="AE80" s="363"/>
      <c r="AF80" s="363"/>
      <c r="AG80" s="363"/>
      <c r="AH80" s="363"/>
    </row>
    <row r="81" spans="1:34" ht="14.5" hidden="1" thickBot="1" x14ac:dyDescent="0.35">
      <c r="U81" s="363"/>
      <c r="V81" s="363"/>
      <c r="W81" s="363"/>
      <c r="X81" s="363"/>
      <c r="Y81" s="363"/>
      <c r="Z81" s="753">
        <f>D72</f>
        <v>0</v>
      </c>
      <c r="AA81" s="754"/>
      <c r="AB81" s="753" t="e">
        <f>#REF!</f>
        <v>#REF!</v>
      </c>
      <c r="AC81" s="754"/>
      <c r="AD81" s="744"/>
      <c r="AE81" s="744"/>
      <c r="AF81" s="744"/>
      <c r="AG81" s="744"/>
      <c r="AH81" s="363"/>
    </row>
    <row r="82" spans="1:34" ht="33" hidden="1" customHeight="1" x14ac:dyDescent="0.3">
      <c r="U82" s="363"/>
      <c r="V82" s="363"/>
      <c r="W82" s="363"/>
      <c r="X82" s="363"/>
      <c r="Y82" s="404" t="s">
        <v>259</v>
      </c>
      <c r="Z82" s="405">
        <f>T28</f>
        <v>24716842.559999999</v>
      </c>
      <c r="AA82" s="406" t="str">
        <f>E73</f>
        <v>mln eurot</v>
      </c>
      <c r="AB82" s="405">
        <f>T30</f>
        <v>27211601.595600002</v>
      </c>
      <c r="AC82" s="406" t="str">
        <f>AA82</f>
        <v>mln eurot</v>
      </c>
      <c r="AD82" s="407"/>
      <c r="AE82" s="363"/>
      <c r="AF82" s="408"/>
      <c r="AG82" s="363"/>
      <c r="AH82" s="363"/>
    </row>
    <row r="83" spans="1:34" ht="33" hidden="1" customHeight="1" x14ac:dyDescent="0.3">
      <c r="U83" s="363"/>
      <c r="V83" s="363"/>
      <c r="W83" s="363"/>
      <c r="X83" s="363"/>
      <c r="Y83" s="409" t="s">
        <v>260</v>
      </c>
      <c r="Z83" s="410">
        <f>T19</f>
        <v>42612000</v>
      </c>
      <c r="AA83" s="411" t="str">
        <f>E73</f>
        <v>mln eurot</v>
      </c>
      <c r="AB83" s="410">
        <f>T19</f>
        <v>42612000</v>
      </c>
      <c r="AC83" s="411" t="str">
        <f>AA83</f>
        <v>mln eurot</v>
      </c>
      <c r="AD83" s="407"/>
      <c r="AE83" s="363"/>
      <c r="AF83" s="408"/>
      <c r="AG83" s="363"/>
      <c r="AH83" s="363"/>
    </row>
    <row r="84" spans="1:34" ht="33" hidden="1" customHeight="1" x14ac:dyDescent="0.3">
      <c r="D84" s="363"/>
      <c r="U84" s="363"/>
      <c r="V84" s="363"/>
      <c r="W84" s="363"/>
      <c r="X84" s="363"/>
      <c r="Y84" s="412" t="s">
        <v>261</v>
      </c>
      <c r="Z84" s="413">
        <v>12697303.870000001</v>
      </c>
      <c r="AA84" s="414" t="str">
        <f>AA83</f>
        <v>mln eurot</v>
      </c>
      <c r="AB84" s="413">
        <v>10442103.870000001</v>
      </c>
      <c r="AC84" s="411" t="str">
        <f>AC83</f>
        <v>mln eurot</v>
      </c>
      <c r="AD84" s="407"/>
      <c r="AE84" s="363"/>
      <c r="AF84" s="408"/>
      <c r="AG84" s="363"/>
      <c r="AH84" s="363"/>
    </row>
    <row r="85" spans="1:34" ht="33" hidden="1" customHeight="1" x14ac:dyDescent="0.3">
      <c r="D85" s="363"/>
      <c r="U85" s="363"/>
      <c r="V85" s="363"/>
      <c r="W85" s="363"/>
      <c r="X85" s="363"/>
      <c r="Y85" s="412" t="s">
        <v>262</v>
      </c>
      <c r="Z85" s="415">
        <f>T21</f>
        <v>225</v>
      </c>
      <c r="AA85" s="414" t="str">
        <f>AA86</f>
        <v>чел.</v>
      </c>
      <c r="AB85" s="415">
        <f>T37</f>
        <v>225</v>
      </c>
      <c r="AC85" s="414" t="str">
        <f>AC86</f>
        <v>чел.</v>
      </c>
      <c r="AD85" s="416"/>
      <c r="AE85" s="363"/>
      <c r="AF85" s="408"/>
      <c r="AG85" s="363"/>
      <c r="AH85" s="363"/>
    </row>
    <row r="86" spans="1:34" ht="33" hidden="1" customHeight="1" thickBot="1" x14ac:dyDescent="0.35">
      <c r="D86" s="363"/>
      <c r="U86" s="363"/>
      <c r="V86" s="363"/>
      <c r="W86" s="363"/>
      <c r="X86" s="363"/>
      <c r="Y86" s="417" t="s">
        <v>263</v>
      </c>
      <c r="Z86" s="418"/>
      <c r="AA86" s="419" t="s">
        <v>264</v>
      </c>
      <c r="AB86" s="418">
        <f>T38</f>
        <v>0</v>
      </c>
      <c r="AC86" s="419" t="str">
        <f>AA86</f>
        <v>чел.</v>
      </c>
      <c r="AD86" s="420"/>
      <c r="AE86" s="363"/>
      <c r="AF86" s="408"/>
      <c r="AG86" s="363"/>
      <c r="AH86" s="363"/>
    </row>
    <row r="87" spans="1:34" ht="33" hidden="1" customHeight="1" x14ac:dyDescent="0.3">
      <c r="D87" s="363"/>
      <c r="U87" s="363"/>
      <c r="V87" s="363"/>
      <c r="W87" s="363"/>
      <c r="X87" s="363"/>
      <c r="Y87" s="363"/>
      <c r="Z87" s="363"/>
      <c r="AA87" s="363"/>
      <c r="AB87" s="363"/>
      <c r="AC87" s="363"/>
      <c r="AD87" s="420"/>
      <c r="AE87" s="363"/>
      <c r="AF87" s="408"/>
      <c r="AG87" s="363"/>
      <c r="AH87" s="363"/>
    </row>
    <row r="88" spans="1:34" hidden="1" x14ac:dyDescent="0.3">
      <c r="U88" s="363"/>
      <c r="V88" s="363"/>
      <c r="W88" s="363"/>
      <c r="X88" s="363"/>
      <c r="Y88" s="363"/>
      <c r="Z88" s="363"/>
      <c r="AA88" s="363"/>
      <c r="AB88" s="363"/>
      <c r="AC88" s="363"/>
      <c r="AD88" s="363"/>
      <c r="AE88" s="363"/>
      <c r="AF88" s="363"/>
      <c r="AG88" s="363"/>
      <c r="AH88" s="363"/>
    </row>
    <row r="89" spans="1:34" hidden="1" x14ac:dyDescent="0.3">
      <c r="U89" s="363"/>
      <c r="V89" s="363"/>
      <c r="W89" s="363"/>
      <c r="X89" s="363"/>
      <c r="Y89" s="363"/>
      <c r="Z89" s="363"/>
      <c r="AA89" s="363"/>
      <c r="AB89" s="363"/>
      <c r="AC89" s="363"/>
      <c r="AD89" s="363"/>
      <c r="AE89" s="363"/>
      <c r="AF89" s="363"/>
      <c r="AG89" s="363"/>
      <c r="AH89" s="363"/>
    </row>
    <row r="90" spans="1:34" x14ac:dyDescent="0.3">
      <c r="U90" s="363"/>
      <c r="V90" s="363"/>
      <c r="W90" s="363"/>
      <c r="X90" s="363"/>
      <c r="AD90" s="363"/>
      <c r="AE90" s="363"/>
      <c r="AF90" s="363"/>
      <c r="AG90" s="363"/>
      <c r="AH90" s="363"/>
    </row>
    <row r="91" spans="1:34" x14ac:dyDescent="0.3">
      <c r="A91" s="421"/>
      <c r="G91" s="385"/>
      <c r="H91" s="385"/>
      <c r="I91" s="385"/>
      <c r="J91" s="385"/>
      <c r="K91" s="385"/>
      <c r="L91" s="385"/>
      <c r="M91" s="385"/>
      <c r="N91" s="385"/>
      <c r="O91" s="385"/>
      <c r="P91" s="385"/>
      <c r="Q91" s="385"/>
      <c r="R91" s="385"/>
      <c r="S91" s="385"/>
    </row>
    <row r="92" spans="1:34" s="363" customFormat="1" x14ac:dyDescent="0.3">
      <c r="A92" s="422"/>
      <c r="D92" s="364"/>
      <c r="H92" s="385"/>
      <c r="I92" s="385"/>
      <c r="J92" s="385"/>
      <c r="K92" s="385"/>
      <c r="L92" s="385"/>
      <c r="M92" s="385"/>
      <c r="N92" s="385"/>
      <c r="O92" s="385"/>
      <c r="P92" s="385"/>
      <c r="Q92" s="385"/>
      <c r="R92" s="385"/>
      <c r="S92" s="385"/>
      <c r="U92" s="368"/>
      <c r="V92" s="368"/>
      <c r="W92" s="368"/>
      <c r="X92" s="368"/>
      <c r="Y92" s="368"/>
      <c r="Z92" s="368"/>
      <c r="AA92" s="368"/>
      <c r="AB92" s="368"/>
      <c r="AC92" s="368"/>
      <c r="AD92" s="368"/>
      <c r="AE92" s="368"/>
      <c r="AF92" s="368"/>
      <c r="AG92" s="368"/>
      <c r="AH92" s="368"/>
    </row>
  </sheetData>
  <mergeCells count="13">
    <mergeCell ref="V2:Y2"/>
    <mergeCell ref="B3:C3"/>
    <mergeCell ref="B71:C72"/>
    <mergeCell ref="D72:E72"/>
    <mergeCell ref="F72:G72"/>
    <mergeCell ref="AD81:AG81"/>
    <mergeCell ref="D71:E71"/>
    <mergeCell ref="B73:C73"/>
    <mergeCell ref="B74:C74"/>
    <mergeCell ref="B75:C75"/>
    <mergeCell ref="B76:C76"/>
    <mergeCell ref="Z81:AA81"/>
    <mergeCell ref="AB81:AC81"/>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
  <sheetViews>
    <sheetView workbookViewId="0"/>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167</v>
      </c>
    </row>
    <row r="2" spans="1:16" s="250" customFormat="1" ht="21" customHeight="1" x14ac:dyDescent="0.35">
      <c r="A2" s="290"/>
      <c r="B2" s="291">
        <f>Esileht!B10</f>
        <v>2024</v>
      </c>
      <c r="C2" s="291">
        <f>B2+1</f>
        <v>2025</v>
      </c>
      <c r="D2" s="291">
        <f t="shared" ref="D2:K2" si="0">C2+1</f>
        <v>2026</v>
      </c>
      <c r="E2" s="291">
        <f t="shared" si="0"/>
        <v>2027</v>
      </c>
      <c r="F2" s="291">
        <f t="shared" si="0"/>
        <v>2028</v>
      </c>
      <c r="G2" s="291">
        <f t="shared" si="0"/>
        <v>2029</v>
      </c>
      <c r="H2" s="291">
        <f t="shared" si="0"/>
        <v>2030</v>
      </c>
      <c r="I2" s="291">
        <f t="shared" si="0"/>
        <v>2031</v>
      </c>
      <c r="J2" s="291">
        <f t="shared" si="0"/>
        <v>2032</v>
      </c>
      <c r="K2" s="291">
        <f t="shared" si="0"/>
        <v>2033</v>
      </c>
      <c r="L2" s="291">
        <f t="shared" ref="L2" si="1">K2+1</f>
        <v>2034</v>
      </c>
      <c r="M2" s="291">
        <f t="shared" ref="M2" si="2">L2+1</f>
        <v>2035</v>
      </c>
      <c r="N2" s="291">
        <f t="shared" ref="N2" si="3">M2+1</f>
        <v>2036</v>
      </c>
      <c r="O2" s="291">
        <f t="shared" ref="O2" si="4">N2+1</f>
        <v>2037</v>
      </c>
      <c r="P2" s="291">
        <f t="shared" ref="P2" si="5">O2+1</f>
        <v>2038</v>
      </c>
    </row>
    <row r="3" spans="1:16" ht="27.75" customHeight="1" x14ac:dyDescent="0.35">
      <c r="A3" s="283" t="s">
        <v>168</v>
      </c>
      <c r="B3" s="292">
        <v>0.33</v>
      </c>
      <c r="C3" s="292">
        <f>B3</f>
        <v>0.33</v>
      </c>
      <c r="D3" s="292">
        <f t="shared" ref="D3:P3" si="6">C3</f>
        <v>0.33</v>
      </c>
      <c r="E3" s="292">
        <f t="shared" si="6"/>
        <v>0.33</v>
      </c>
      <c r="F3" s="292">
        <f t="shared" si="6"/>
        <v>0.33</v>
      </c>
      <c r="G3" s="292">
        <f t="shared" si="6"/>
        <v>0.33</v>
      </c>
      <c r="H3" s="292">
        <f t="shared" si="6"/>
        <v>0.33</v>
      </c>
      <c r="I3" s="292">
        <f t="shared" si="6"/>
        <v>0.33</v>
      </c>
      <c r="J3" s="292">
        <f t="shared" si="6"/>
        <v>0.33</v>
      </c>
      <c r="K3" s="292">
        <f t="shared" si="6"/>
        <v>0.33</v>
      </c>
      <c r="L3" s="292">
        <f t="shared" si="6"/>
        <v>0.33</v>
      </c>
      <c r="M3" s="292">
        <f t="shared" si="6"/>
        <v>0.33</v>
      </c>
      <c r="N3" s="292">
        <f t="shared" si="6"/>
        <v>0.33</v>
      </c>
      <c r="O3" s="292">
        <f t="shared" si="6"/>
        <v>0.33</v>
      </c>
      <c r="P3" s="292">
        <f t="shared" si="6"/>
        <v>0.33</v>
      </c>
    </row>
    <row r="4" spans="1:16" ht="50.25" customHeight="1" x14ac:dyDescent="0.35">
      <c r="A4" s="283" t="s">
        <v>169</v>
      </c>
      <c r="B4" s="292">
        <v>8.0000000000000002E-3</v>
      </c>
      <c r="C4" s="292">
        <f>B4</f>
        <v>8.0000000000000002E-3</v>
      </c>
      <c r="D4" s="292">
        <f t="shared" ref="D4:P4" si="7">C4</f>
        <v>8.0000000000000002E-3</v>
      </c>
      <c r="E4" s="292">
        <f t="shared" si="7"/>
        <v>8.0000000000000002E-3</v>
      </c>
      <c r="F4" s="292">
        <f t="shared" si="7"/>
        <v>8.0000000000000002E-3</v>
      </c>
      <c r="G4" s="292">
        <f t="shared" si="7"/>
        <v>8.0000000000000002E-3</v>
      </c>
      <c r="H4" s="292">
        <f t="shared" si="7"/>
        <v>8.0000000000000002E-3</v>
      </c>
      <c r="I4" s="292">
        <f t="shared" si="7"/>
        <v>8.0000000000000002E-3</v>
      </c>
      <c r="J4" s="292">
        <f t="shared" si="7"/>
        <v>8.0000000000000002E-3</v>
      </c>
      <c r="K4" s="292">
        <f t="shared" si="7"/>
        <v>8.0000000000000002E-3</v>
      </c>
      <c r="L4" s="292">
        <f t="shared" si="7"/>
        <v>8.0000000000000002E-3</v>
      </c>
      <c r="M4" s="292">
        <f t="shared" si="7"/>
        <v>8.0000000000000002E-3</v>
      </c>
      <c r="N4" s="292">
        <f t="shared" si="7"/>
        <v>8.0000000000000002E-3</v>
      </c>
      <c r="O4" s="292">
        <f t="shared" si="7"/>
        <v>8.0000000000000002E-3</v>
      </c>
      <c r="P4" s="292">
        <f t="shared" si="7"/>
        <v>8.0000000000000002E-3</v>
      </c>
    </row>
    <row r="5" spans="1:16" s="250" customFormat="1" ht="24.75" customHeight="1" x14ac:dyDescent="0.35">
      <c r="A5" s="290" t="s">
        <v>170</v>
      </c>
      <c r="B5" s="293">
        <f>SUM(B3:B4)</f>
        <v>0.33800000000000002</v>
      </c>
      <c r="C5" s="293">
        <f>SUM(C3:C4)</f>
        <v>0.33800000000000002</v>
      </c>
      <c r="D5" s="293">
        <f t="shared" ref="D5:P5" si="8">SUM(D3:D4)</f>
        <v>0.33800000000000002</v>
      </c>
      <c r="E5" s="293">
        <f t="shared" si="8"/>
        <v>0.33800000000000002</v>
      </c>
      <c r="F5" s="293">
        <f t="shared" si="8"/>
        <v>0.33800000000000002</v>
      </c>
      <c r="G5" s="293">
        <f t="shared" si="8"/>
        <v>0.33800000000000002</v>
      </c>
      <c r="H5" s="293">
        <f t="shared" si="8"/>
        <v>0.33800000000000002</v>
      </c>
      <c r="I5" s="293">
        <f t="shared" si="8"/>
        <v>0.33800000000000002</v>
      </c>
      <c r="J5" s="293">
        <f t="shared" si="8"/>
        <v>0.33800000000000002</v>
      </c>
      <c r="K5" s="293">
        <f t="shared" si="8"/>
        <v>0.33800000000000002</v>
      </c>
      <c r="L5" s="293">
        <f t="shared" si="8"/>
        <v>0.33800000000000002</v>
      </c>
      <c r="M5" s="293">
        <f t="shared" si="8"/>
        <v>0.33800000000000002</v>
      </c>
      <c r="N5" s="293">
        <f t="shared" si="8"/>
        <v>0.33800000000000002</v>
      </c>
      <c r="O5" s="293">
        <f t="shared" si="8"/>
        <v>0.33800000000000002</v>
      </c>
      <c r="P5" s="293">
        <f t="shared" si="8"/>
        <v>0.33800000000000002</v>
      </c>
    </row>
    <row r="8" spans="1:16" ht="21.75" customHeight="1" x14ac:dyDescent="0.35">
      <c r="A8" s="321" t="s">
        <v>218</v>
      </c>
    </row>
    <row r="9" spans="1:16" ht="21.75" customHeight="1" x14ac:dyDescent="0.35">
      <c r="A9" s="322" t="s">
        <v>240</v>
      </c>
    </row>
    <row r="10" spans="1:16" ht="21.75" customHeight="1" x14ac:dyDescent="0.35">
      <c r="A10" s="322"/>
    </row>
    <row r="11" spans="1:16" ht="21.75" customHeight="1" x14ac:dyDescent="0.35">
      <c r="A11" s="322"/>
    </row>
    <row r="12" spans="1:16" ht="21.75" customHeight="1" x14ac:dyDescent="0.35">
      <c r="A12" s="322"/>
    </row>
    <row r="13" spans="1:16" ht="32.25" customHeight="1" x14ac:dyDescent="0.35">
      <c r="A13" s="321" t="s">
        <v>219</v>
      </c>
    </row>
    <row r="14" spans="1:16" ht="21.75" customHeight="1" x14ac:dyDescent="0.35">
      <c r="A14" s="322" t="s">
        <v>241</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election activeCell="D25" sqref="D25"/>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199</v>
      </c>
    </row>
    <row r="2" spans="1:2" ht="5.25" customHeight="1" x14ac:dyDescent="0.35"/>
    <row r="3" spans="1:2" ht="36" customHeight="1" x14ac:dyDescent="0.35">
      <c r="A3" s="259" t="s">
        <v>200</v>
      </c>
      <c r="B3" s="320" t="s">
        <v>201</v>
      </c>
    </row>
    <row r="4" spans="1:2" ht="17.25" customHeight="1" x14ac:dyDescent="0.35">
      <c r="A4" s="103" t="s">
        <v>202</v>
      </c>
      <c r="B4" s="72" t="s">
        <v>203</v>
      </c>
    </row>
    <row r="5" spans="1:2" ht="17.25" customHeight="1" x14ac:dyDescent="0.35">
      <c r="A5" s="103" t="s">
        <v>204</v>
      </c>
      <c r="B5" s="72">
        <v>30</v>
      </c>
    </row>
    <row r="6" spans="1:2" ht="17.25" customHeight="1" x14ac:dyDescent="0.35">
      <c r="A6" s="103" t="s">
        <v>205</v>
      </c>
      <c r="B6" s="72">
        <v>30</v>
      </c>
    </row>
    <row r="7" spans="1:2" ht="17.25" customHeight="1" x14ac:dyDescent="0.35">
      <c r="A7" s="103" t="s">
        <v>206</v>
      </c>
      <c r="B7" s="72" t="s">
        <v>207</v>
      </c>
    </row>
    <row r="8" spans="1:2" ht="17.25" customHeight="1" x14ac:dyDescent="0.35">
      <c r="A8" s="103" t="s">
        <v>208</v>
      </c>
      <c r="B8" s="72">
        <v>25</v>
      </c>
    </row>
    <row r="9" spans="1:2" ht="17.25" customHeight="1" x14ac:dyDescent="0.35">
      <c r="A9" s="103" t="s">
        <v>209</v>
      </c>
      <c r="B9" s="72" t="s">
        <v>207</v>
      </c>
    </row>
    <row r="10" spans="1:2" ht="17.25" customHeight="1" x14ac:dyDescent="0.35">
      <c r="A10" s="103" t="s">
        <v>210</v>
      </c>
      <c r="B10" s="72" t="s">
        <v>207</v>
      </c>
    </row>
    <row r="11" spans="1:2" ht="17.25" customHeight="1" x14ac:dyDescent="0.35">
      <c r="A11" s="103" t="s">
        <v>211</v>
      </c>
      <c r="B11" s="72" t="s">
        <v>212</v>
      </c>
    </row>
    <row r="12" spans="1:2" ht="17.25" customHeight="1" x14ac:dyDescent="0.35">
      <c r="A12" s="103" t="s">
        <v>213</v>
      </c>
      <c r="B12" s="72" t="s">
        <v>203</v>
      </c>
    </row>
    <row r="13" spans="1:2" ht="17.25" customHeight="1" x14ac:dyDescent="0.35">
      <c r="A13" s="103" t="s">
        <v>214</v>
      </c>
      <c r="B13" s="72" t="s">
        <v>215</v>
      </c>
    </row>
    <row r="14" spans="1:2" ht="17.25" customHeight="1" x14ac:dyDescent="0.35">
      <c r="A14" s="103" t="s">
        <v>216</v>
      </c>
      <c r="B14" s="72" t="s">
        <v>215</v>
      </c>
    </row>
    <row r="16" spans="1:2" ht="38.25" customHeight="1" x14ac:dyDescent="0.35">
      <c r="A16" s="765" t="s">
        <v>217</v>
      </c>
      <c r="B16" s="765"/>
    </row>
  </sheetData>
  <mergeCells count="1">
    <mergeCell ref="A16:B16"/>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0236-CDC0-4812-A092-D449DDC52BD5}">
  <dimension ref="A2:P18"/>
  <sheetViews>
    <sheetView workbookViewId="0">
      <selection activeCell="A19" sqref="A19"/>
    </sheetView>
  </sheetViews>
  <sheetFormatPr defaultColWidth="9.1796875" defaultRowHeight="14.5" x14ac:dyDescent="0.35"/>
  <cols>
    <col min="1" max="1" width="24.26953125" style="602" customWidth="1"/>
    <col min="2" max="2" width="9.26953125" style="602" customWidth="1"/>
    <col min="3" max="3" width="8.81640625" style="602" customWidth="1"/>
    <col min="4" max="4" width="9.54296875" style="602" customWidth="1"/>
    <col min="5" max="6" width="9.1796875" style="602"/>
    <col min="7" max="7" width="9.54296875" style="602" customWidth="1"/>
    <col min="8" max="16384" width="9.1796875" style="602"/>
  </cols>
  <sheetData>
    <row r="2" spans="1:16" x14ac:dyDescent="0.35">
      <c r="H2" s="603"/>
    </row>
    <row r="7" spans="1:16" x14ac:dyDescent="0.35">
      <c r="B7" s="608"/>
      <c r="C7" s="607"/>
    </row>
    <row r="8" spans="1:16" x14ac:dyDescent="0.35">
      <c r="A8" s="604" t="s">
        <v>402</v>
      </c>
    </row>
    <row r="9" spans="1:16" x14ac:dyDescent="0.35">
      <c r="B9" s="605">
        <f>'2. Tulud-kulud projektiga'!D3</f>
        <v>2024</v>
      </c>
      <c r="C9" s="605">
        <f>'2. Tulud-kulud projektiga'!E3</f>
        <v>2025</v>
      </c>
      <c r="D9" s="605">
        <f>'2. Tulud-kulud projektiga'!F3</f>
        <v>2026</v>
      </c>
      <c r="E9" s="605">
        <f>'2. Tulud-kulud projektiga'!G3</f>
        <v>2027</v>
      </c>
      <c r="F9" s="605">
        <f>'2. Tulud-kulud projektiga'!H3</f>
        <v>2028</v>
      </c>
      <c r="G9" s="605">
        <f>'2. Tulud-kulud projektiga'!I3</f>
        <v>2029</v>
      </c>
      <c r="H9" s="605">
        <f>'2. Tulud-kulud projektiga'!J3</f>
        <v>2030</v>
      </c>
      <c r="I9" s="605">
        <f>'2. Tulud-kulud projektiga'!K3</f>
        <v>2031</v>
      </c>
      <c r="J9" s="605">
        <f>'2. Tulud-kulud projektiga'!L3</f>
        <v>2032</v>
      </c>
      <c r="K9" s="605">
        <f>'2. Tulud-kulud projektiga'!M3</f>
        <v>2033</v>
      </c>
      <c r="L9" s="605">
        <f>'2. Tulud-kulud projektiga'!N3</f>
        <v>2034</v>
      </c>
      <c r="M9" s="605">
        <f>'2. Tulud-kulud projektiga'!O3</f>
        <v>2035</v>
      </c>
      <c r="N9" s="605">
        <f>'2. Tulud-kulud projektiga'!P3</f>
        <v>2036</v>
      </c>
      <c r="O9" s="605">
        <f>'2. Tulud-kulud projektiga'!Q3</f>
        <v>2037</v>
      </c>
      <c r="P9" s="605">
        <f>'2. Tulud-kulud projektiga'!R3</f>
        <v>2038</v>
      </c>
    </row>
    <row r="10" spans="1:16" x14ac:dyDescent="0.35">
      <c r="A10" s="605" t="s">
        <v>400</v>
      </c>
      <c r="B10" s="609">
        <v>5093.423019431988</v>
      </c>
      <c r="C10" s="609">
        <f>$B10*'Rah.min prognoos'!C18</f>
        <v>5093.423019431988</v>
      </c>
      <c r="D10" s="609">
        <f>$B10*'Rah.min prognoos'!D18</f>
        <v>5093.423019431988</v>
      </c>
      <c r="E10" s="609">
        <f>$B10*'Rah.min prognoos'!E18</f>
        <v>5093.423019431988</v>
      </c>
      <c r="F10" s="609">
        <f>$B10*'Rah.min prognoos'!F18</f>
        <v>5093.423019431988</v>
      </c>
      <c r="G10" s="609">
        <f>$B10*'Rah.min prognoos'!G18</f>
        <v>5093.423019431988</v>
      </c>
      <c r="H10" s="609">
        <f>$B10*'Rah.min prognoos'!H18</f>
        <v>5093.423019431988</v>
      </c>
      <c r="I10" s="609">
        <f>$B10*'Rah.min prognoos'!I18</f>
        <v>5093.423019431988</v>
      </c>
      <c r="J10" s="609">
        <f>$B10*'Rah.min prognoos'!J18</f>
        <v>5093.423019431988</v>
      </c>
      <c r="K10" s="609">
        <f>$B10*'Rah.min prognoos'!K18</f>
        <v>5093.423019431988</v>
      </c>
      <c r="L10" s="609">
        <f>$B10*'Rah.min prognoos'!L18</f>
        <v>5093.423019431988</v>
      </c>
      <c r="M10" s="609">
        <f>$B10*'Rah.min prognoos'!M18</f>
        <v>5093.423019431988</v>
      </c>
      <c r="N10" s="609">
        <f>$B10*'Rah.min prognoos'!N18</f>
        <v>5093.423019431988</v>
      </c>
      <c r="O10" s="609">
        <f>$B10*'Rah.min prognoos'!O18</f>
        <v>5093.423019431988</v>
      </c>
      <c r="P10" s="609">
        <f>$B10*'Rah.min prognoos'!P18</f>
        <v>5093.423019431988</v>
      </c>
    </row>
    <row r="11" spans="1:16" x14ac:dyDescent="0.35">
      <c r="A11" s="605" t="s">
        <v>401</v>
      </c>
      <c r="B11" s="609">
        <v>3519.4319880418534</v>
      </c>
      <c r="C11" s="609">
        <f>$B11*'Rah.min prognoos'!C18</f>
        <v>3519.4319880418534</v>
      </c>
      <c r="D11" s="609">
        <f>$B11*'Rah.min prognoos'!D18</f>
        <v>3519.4319880418534</v>
      </c>
      <c r="E11" s="609">
        <f>$B11*'Rah.min prognoos'!E18</f>
        <v>3519.4319880418534</v>
      </c>
      <c r="F11" s="609">
        <f>$B11*'Rah.min prognoos'!F18</f>
        <v>3519.4319880418534</v>
      </c>
      <c r="G11" s="609">
        <f>$B11*'Rah.min prognoos'!G18</f>
        <v>3519.4319880418534</v>
      </c>
      <c r="H11" s="609">
        <f>$B11*'Rah.min prognoos'!H18</f>
        <v>3519.4319880418534</v>
      </c>
      <c r="I11" s="609">
        <f>$B11*'Rah.min prognoos'!I18</f>
        <v>3519.4319880418534</v>
      </c>
      <c r="J11" s="609">
        <f>$B11*'Rah.min prognoos'!J18</f>
        <v>3519.4319880418534</v>
      </c>
      <c r="K11" s="609">
        <f>$B11*'Rah.min prognoos'!K18</f>
        <v>3519.4319880418534</v>
      </c>
      <c r="L11" s="609">
        <f>$B11*'Rah.min prognoos'!L18</f>
        <v>3519.4319880418534</v>
      </c>
      <c r="M11" s="609">
        <f>$B11*'Rah.min prognoos'!M18</f>
        <v>3519.4319880418534</v>
      </c>
      <c r="N11" s="609">
        <f>$B11*'Rah.min prognoos'!N18</f>
        <v>3519.4319880418534</v>
      </c>
      <c r="O11" s="609">
        <f>$B11*'Rah.min prognoos'!O18</f>
        <v>3519.4319880418534</v>
      </c>
      <c r="P11" s="609">
        <f>$B11*'Rah.min prognoos'!P18</f>
        <v>3519.4319880418534</v>
      </c>
    </row>
    <row r="12" spans="1:16" x14ac:dyDescent="0.35">
      <c r="A12" s="637" t="s">
        <v>419</v>
      </c>
      <c r="B12" s="609">
        <v>2214.4992526158444</v>
      </c>
      <c r="C12" s="609">
        <f>$B12*'Rah.min prognoos'!C18</f>
        <v>2214.4992526158444</v>
      </c>
      <c r="D12" s="609">
        <f>$B12*'Rah.min prognoos'!D18</f>
        <v>2214.4992526158444</v>
      </c>
      <c r="E12" s="609">
        <f>$B12*'Rah.min prognoos'!E18</f>
        <v>2214.4992526158444</v>
      </c>
      <c r="F12" s="609">
        <f>$B12*'Rah.min prognoos'!F18</f>
        <v>2214.4992526158444</v>
      </c>
      <c r="G12" s="609">
        <f>$B12*'Rah.min prognoos'!G18</f>
        <v>2214.4992526158444</v>
      </c>
      <c r="H12" s="609">
        <f>$B12*'Rah.min prognoos'!H18</f>
        <v>2214.4992526158444</v>
      </c>
      <c r="I12" s="609">
        <f>$B12*'Rah.min prognoos'!I18</f>
        <v>2214.4992526158444</v>
      </c>
      <c r="J12" s="609">
        <f>$B12*'Rah.min prognoos'!J18</f>
        <v>2214.4992526158444</v>
      </c>
      <c r="K12" s="609">
        <f>$B12*'Rah.min prognoos'!K18</f>
        <v>2214.4992526158444</v>
      </c>
      <c r="L12" s="609">
        <f>$B12*'Rah.min prognoos'!L18</f>
        <v>2214.4992526158444</v>
      </c>
      <c r="M12" s="609">
        <f>$B12*'Rah.min prognoos'!M18</f>
        <v>2214.4992526158444</v>
      </c>
      <c r="N12" s="609">
        <f>$B12*'Rah.min prognoos'!N18</f>
        <v>2214.4992526158444</v>
      </c>
      <c r="O12" s="609">
        <f>$B12*'Rah.min prognoos'!O18</f>
        <v>2214.4992526158444</v>
      </c>
      <c r="P12" s="609">
        <f>$B12*'Rah.min prognoos'!P18</f>
        <v>2214.4992526158444</v>
      </c>
    </row>
    <row r="15" spans="1:16" x14ac:dyDescent="0.35">
      <c r="A15" s="604" t="s">
        <v>399</v>
      </c>
    </row>
    <row r="16" spans="1:16" x14ac:dyDescent="0.35">
      <c r="A16" s="605" t="s">
        <v>400</v>
      </c>
      <c r="B16" s="605"/>
      <c r="C16" s="606">
        <v>0.3</v>
      </c>
      <c r="D16" s="606">
        <f>C16</f>
        <v>0.3</v>
      </c>
      <c r="E16" s="606">
        <f>D16</f>
        <v>0.3</v>
      </c>
      <c r="F16" s="606">
        <f>E16</f>
        <v>0.3</v>
      </c>
      <c r="G16" s="606">
        <f>F16</f>
        <v>0.3</v>
      </c>
      <c r="H16" s="606">
        <f t="shared" ref="H16:N16" si="0">G16</f>
        <v>0.3</v>
      </c>
      <c r="I16" s="606">
        <f t="shared" si="0"/>
        <v>0.3</v>
      </c>
      <c r="J16" s="606">
        <f t="shared" si="0"/>
        <v>0.3</v>
      </c>
      <c r="K16" s="606">
        <f t="shared" si="0"/>
        <v>0.3</v>
      </c>
      <c r="L16" s="606">
        <f t="shared" si="0"/>
        <v>0.3</v>
      </c>
      <c r="M16" s="606">
        <f t="shared" si="0"/>
        <v>0.3</v>
      </c>
      <c r="N16" s="606">
        <f t="shared" si="0"/>
        <v>0.3</v>
      </c>
      <c r="O16" s="606">
        <f>N16</f>
        <v>0.3</v>
      </c>
      <c r="P16" s="606">
        <f t="shared" ref="P16" si="1">O16</f>
        <v>0.3</v>
      </c>
    </row>
    <row r="17" spans="1:16" x14ac:dyDescent="0.35">
      <c r="A17" s="605" t="s">
        <v>401</v>
      </c>
      <c r="B17" s="605"/>
      <c r="C17" s="609"/>
      <c r="D17" s="606">
        <v>0.5</v>
      </c>
      <c r="E17" s="606">
        <f t="shared" ref="E17:F18" si="2">D17</f>
        <v>0.5</v>
      </c>
      <c r="F17" s="606">
        <f t="shared" si="2"/>
        <v>0.5</v>
      </c>
      <c r="G17" s="606">
        <f>F17</f>
        <v>0.5</v>
      </c>
      <c r="H17" s="606">
        <f t="shared" ref="H17:N17" si="3">G17</f>
        <v>0.5</v>
      </c>
      <c r="I17" s="606">
        <f t="shared" si="3"/>
        <v>0.5</v>
      </c>
      <c r="J17" s="606">
        <f t="shared" si="3"/>
        <v>0.5</v>
      </c>
      <c r="K17" s="606">
        <f t="shared" si="3"/>
        <v>0.5</v>
      </c>
      <c r="L17" s="606">
        <f t="shared" si="3"/>
        <v>0.5</v>
      </c>
      <c r="M17" s="606">
        <f t="shared" si="3"/>
        <v>0.5</v>
      </c>
      <c r="N17" s="606">
        <f t="shared" si="3"/>
        <v>0.5</v>
      </c>
      <c r="O17" s="606"/>
      <c r="P17" s="606"/>
    </row>
    <row r="18" spans="1:16" x14ac:dyDescent="0.35">
      <c r="A18" s="637" t="s">
        <v>419</v>
      </c>
      <c r="B18" s="605"/>
      <c r="C18" s="609"/>
      <c r="D18" s="606">
        <v>0.1</v>
      </c>
      <c r="E18" s="606">
        <f t="shared" si="2"/>
        <v>0.1</v>
      </c>
      <c r="F18" s="606">
        <f t="shared" si="2"/>
        <v>0.1</v>
      </c>
      <c r="G18" s="606">
        <f>F18</f>
        <v>0.1</v>
      </c>
      <c r="H18" s="606">
        <f t="shared" ref="H18:O18" si="4">G18</f>
        <v>0.1</v>
      </c>
      <c r="I18" s="606">
        <f t="shared" si="4"/>
        <v>0.1</v>
      </c>
      <c r="J18" s="606">
        <f t="shared" si="4"/>
        <v>0.1</v>
      </c>
      <c r="K18" s="606">
        <f t="shared" si="4"/>
        <v>0.1</v>
      </c>
      <c r="L18" s="606">
        <f t="shared" si="4"/>
        <v>0.1</v>
      </c>
      <c r="M18" s="606">
        <f t="shared" si="4"/>
        <v>0.1</v>
      </c>
      <c r="N18" s="606">
        <f t="shared" si="4"/>
        <v>0.1</v>
      </c>
      <c r="O18" s="606">
        <f t="shared" si="4"/>
        <v>0.1</v>
      </c>
      <c r="P18" s="606">
        <f t="shared" ref="P18" si="5">O18</f>
        <v>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D6"/>
  <sheetViews>
    <sheetView workbookViewId="0">
      <selection activeCell="D10" sqref="D10"/>
    </sheetView>
  </sheetViews>
  <sheetFormatPr defaultRowHeight="14.5" x14ac:dyDescent="0.35"/>
  <cols>
    <col min="1" max="1" width="14.7265625" customWidth="1"/>
    <col min="2" max="2" width="16.26953125" customWidth="1"/>
    <col min="3" max="3" width="11.81640625" customWidth="1"/>
    <col min="4" max="4" width="12.81640625" customWidth="1"/>
  </cols>
  <sheetData>
    <row r="2" spans="1:4" x14ac:dyDescent="0.35">
      <c r="A2" s="506" t="s">
        <v>329</v>
      </c>
      <c r="C2" s="507"/>
      <c r="D2" s="507"/>
    </row>
    <row r="3" spans="1:4" x14ac:dyDescent="0.35">
      <c r="A3" s="766"/>
      <c r="B3" s="767"/>
      <c r="C3" s="770" t="s">
        <v>330</v>
      </c>
      <c r="D3" s="770"/>
    </row>
    <row r="4" spans="1:4" x14ac:dyDescent="0.35">
      <c r="A4" s="768"/>
      <c r="B4" s="769"/>
      <c r="C4" s="508">
        <v>8</v>
      </c>
      <c r="D4" s="509">
        <v>13</v>
      </c>
    </row>
    <row r="5" spans="1:4" x14ac:dyDescent="0.35">
      <c r="A5" s="771"/>
      <c r="B5" s="771"/>
      <c r="C5" s="511"/>
      <c r="D5" s="511"/>
    </row>
    <row r="6" spans="1:4" x14ac:dyDescent="0.35">
      <c r="A6" s="772" t="s">
        <v>331</v>
      </c>
      <c r="B6" s="772"/>
      <c r="C6" s="510"/>
      <c r="D6" s="510"/>
    </row>
  </sheetData>
  <mergeCells count="4">
    <mergeCell ref="A3:B4"/>
    <mergeCell ref="C3:D3"/>
    <mergeCell ref="A5:B5"/>
    <mergeCell ref="A6:B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M39"/>
  <sheetViews>
    <sheetView topLeftCell="A24" workbookViewId="0">
      <selection activeCell="A12" sqref="A12:H22"/>
    </sheetView>
  </sheetViews>
  <sheetFormatPr defaultColWidth="9.1796875" defaultRowHeight="14" x14ac:dyDescent="0.3"/>
  <cols>
    <col min="1" max="1" width="24.81640625" style="474" customWidth="1"/>
    <col min="2" max="2" width="9.7265625" style="474" customWidth="1"/>
    <col min="3" max="3" width="10.54296875" style="474" customWidth="1"/>
    <col min="4" max="16384" width="9.1796875" style="474"/>
  </cols>
  <sheetData>
    <row r="2" spans="1:9" x14ac:dyDescent="0.3">
      <c r="A2" s="774" t="str">
        <f>'Sots.majanduslik moju'!B71</f>
        <v>Näitaja</v>
      </c>
      <c r="B2" s="774"/>
      <c r="C2" s="774" t="str">
        <f>'Sots.majanduslik moju'!D71</f>
        <v>Tähendus</v>
      </c>
      <c r="D2" s="774"/>
    </row>
    <row r="3" spans="1:9" x14ac:dyDescent="0.3">
      <c r="A3" s="774"/>
      <c r="B3" s="774"/>
      <c r="C3" s="774"/>
      <c r="D3" s="774"/>
    </row>
    <row r="4" spans="1:9" ht="23.25" customHeight="1" x14ac:dyDescent="0.3">
      <c r="A4" s="773" t="str">
        <f>'Sots.majanduslik moju'!B73</f>
        <v>NPV</v>
      </c>
      <c r="B4" s="773"/>
      <c r="C4" s="497">
        <f>'Sots.majanduslik moju'!D73/1000000</f>
        <v>16.48552679038761</v>
      </c>
      <c r="D4" s="476" t="str">
        <f>'Sots.majanduslik moju'!E73</f>
        <v>mln eurot</v>
      </c>
    </row>
    <row r="5" spans="1:9" ht="15.5" x14ac:dyDescent="0.35">
      <c r="A5" s="773" t="str">
        <f>'Sots.majanduslik moju'!B74</f>
        <v>PI</v>
      </c>
      <c r="B5" s="773"/>
      <c r="C5" s="498">
        <f>'Sots.majanduslik moju'!D74</f>
        <v>14.452058179793541</v>
      </c>
      <c r="D5" s="476" t="s">
        <v>289</v>
      </c>
      <c r="E5" s="488"/>
      <c r="F5" s="389"/>
      <c r="H5" s="477"/>
      <c r="I5" s="501">
        <f>C6/4%</f>
        <v>0</v>
      </c>
    </row>
    <row r="6" spans="1:9" ht="15.5" hidden="1" x14ac:dyDescent="0.35">
      <c r="A6" s="773" t="str">
        <f>'Sots.majanduslik moju'!B75</f>
        <v>IRR</v>
      </c>
      <c r="B6" s="773"/>
      <c r="C6" s="499">
        <f>'Sots.majanduslik moju'!D75</f>
        <v>0</v>
      </c>
      <c r="D6" s="476"/>
      <c r="E6" s="489"/>
      <c r="F6" s="389"/>
    </row>
    <row r="7" spans="1:9" ht="15.5" x14ac:dyDescent="0.35">
      <c r="A7" s="773" t="str">
        <f>'Sots.majanduslik moju'!B76</f>
        <v>DPP</v>
      </c>
      <c r="B7" s="773"/>
      <c r="C7" s="475">
        <f>'Sots.majanduslik moju'!D76</f>
        <v>6</v>
      </c>
      <c r="D7" s="476" t="str">
        <f>'Sots.majanduslik moju'!E76</f>
        <v>aasta</v>
      </c>
      <c r="E7" s="490"/>
      <c r="F7" s="389"/>
    </row>
    <row r="8" spans="1:9" ht="15.5" x14ac:dyDescent="0.35">
      <c r="C8" s="491"/>
      <c r="D8" s="389"/>
      <c r="E8" s="491"/>
      <c r="F8" s="389"/>
    </row>
    <row r="12" spans="1:9" ht="33.75" customHeight="1" x14ac:dyDescent="0.3">
      <c r="A12" s="485"/>
      <c r="B12" s="485"/>
      <c r="C12" s="775" t="s">
        <v>284</v>
      </c>
      <c r="D12" s="775"/>
      <c r="E12" s="775"/>
      <c r="F12" s="775"/>
      <c r="G12" s="775"/>
      <c r="H12" s="775"/>
    </row>
    <row r="13" spans="1:9" ht="23.25" customHeight="1" x14ac:dyDescent="0.3">
      <c r="A13" s="486"/>
      <c r="B13" s="487"/>
      <c r="C13" s="776" t="s">
        <v>274</v>
      </c>
      <c r="D13" s="777"/>
      <c r="E13" s="776" t="s">
        <v>275</v>
      </c>
      <c r="F13" s="777"/>
      <c r="G13" s="776" t="s">
        <v>328</v>
      </c>
      <c r="H13" s="777"/>
    </row>
    <row r="14" spans="1:9" ht="15.5" x14ac:dyDescent="0.3">
      <c r="A14" s="778" t="s">
        <v>276</v>
      </c>
      <c r="B14" s="778"/>
      <c r="C14" s="779">
        <f>'Sots.majanduslik moju'!W36</f>
        <v>50</v>
      </c>
      <c r="D14" s="780"/>
      <c r="E14" s="781">
        <f>'Sots.majanduslik moju'!X36</f>
        <v>175</v>
      </c>
      <c r="F14" s="782"/>
      <c r="G14" s="781">
        <f>'Sots.majanduslik moju'!Y36</f>
        <v>225</v>
      </c>
      <c r="H14" s="782"/>
    </row>
    <row r="15" spans="1:9" ht="34.5" customHeight="1" x14ac:dyDescent="0.3">
      <c r="A15" s="778" t="s">
        <v>277</v>
      </c>
      <c r="B15" s="778"/>
      <c r="C15" s="776"/>
      <c r="D15" s="777"/>
      <c r="E15" s="776"/>
      <c r="F15" s="777"/>
      <c r="G15" s="776"/>
      <c r="H15" s="777"/>
    </row>
    <row r="16" spans="1:9" ht="15.5" x14ac:dyDescent="0.3">
      <c r="A16" s="783" t="s">
        <v>278</v>
      </c>
      <c r="B16" s="783"/>
      <c r="C16" s="784">
        <f>'Sots.majanduslik moju'!W31/1000000</f>
        <v>0.38410320000000003</v>
      </c>
      <c r="D16" s="785"/>
      <c r="E16" s="784">
        <f>('Sots.majanduslik moju'!X31)/1000000</f>
        <v>5.1853932</v>
      </c>
      <c r="F16" s="785">
        <v>0</v>
      </c>
      <c r="G16" s="784">
        <f>('Sots.majanduslik moju'!Y31)/1000000</f>
        <v>10.178734800000001</v>
      </c>
      <c r="H16" s="785">
        <v>0</v>
      </c>
    </row>
    <row r="17" spans="1:9" ht="15.5" x14ac:dyDescent="0.3">
      <c r="A17" s="783" t="s">
        <v>279</v>
      </c>
      <c r="B17" s="783"/>
      <c r="C17" s="784">
        <f>('Sots.majanduslik moju'!W32)/1000000</f>
        <v>0.17900784</v>
      </c>
      <c r="D17" s="785">
        <v>0</v>
      </c>
      <c r="E17" s="784">
        <f>('Sots.majanduslik moju'!X32)/1000000</f>
        <v>2.4166058399999999</v>
      </c>
      <c r="F17" s="785">
        <v>0</v>
      </c>
      <c r="G17" s="784">
        <f>('Sots.majanduslik moju'!Y32)/1000000</f>
        <v>4.7437077599999995</v>
      </c>
      <c r="H17" s="785">
        <v>0</v>
      </c>
    </row>
    <row r="18" spans="1:9" ht="15.5" x14ac:dyDescent="0.3">
      <c r="A18" s="783" t="s">
        <v>280</v>
      </c>
      <c r="B18" s="783"/>
      <c r="C18" s="784">
        <f>('Sots.majanduslik moju'!W34)/1000000</f>
        <v>0.36959999999999998</v>
      </c>
      <c r="D18" s="785">
        <v>0</v>
      </c>
      <c r="E18" s="784">
        <f>('Sots.majanduslik moju'!X34)/1000000</f>
        <v>4.9896000000000003</v>
      </c>
      <c r="F18" s="785">
        <v>0</v>
      </c>
      <c r="G18" s="784">
        <f>('Sots.majanduslik moju'!Y34)/1000000</f>
        <v>9.7943999999999996</v>
      </c>
      <c r="H18" s="785">
        <v>0</v>
      </c>
    </row>
    <row r="19" spans="1:9" ht="31.5" customHeight="1" x14ac:dyDescent="0.3">
      <c r="A19" s="783" t="s">
        <v>281</v>
      </c>
      <c r="B19" s="783"/>
      <c r="C19" s="784">
        <f>('Sots.majanduslik moju'!W33)/1000000</f>
        <v>9.4141850399999991E-2</v>
      </c>
      <c r="D19" s="785">
        <v>0</v>
      </c>
      <c r="E19" s="784">
        <f>('Sots.majanduslik moju'!X33)/1000000</f>
        <v>1.2709149803999999</v>
      </c>
      <c r="F19" s="785">
        <v>0</v>
      </c>
      <c r="G19" s="784">
        <f>('Sots.majanduslik moju'!Y33)/1000000</f>
        <v>2.4947590356</v>
      </c>
      <c r="H19" s="785">
        <v>0</v>
      </c>
    </row>
    <row r="20" spans="1:9" ht="33.75" customHeight="1" x14ac:dyDescent="0.3">
      <c r="A20" s="778" t="s">
        <v>285</v>
      </c>
      <c r="B20" s="778"/>
      <c r="C20" s="779">
        <f>('Sots.majanduslik moju'!W45)/1000000</f>
        <v>2.0100000000000002</v>
      </c>
      <c r="D20" s="780">
        <v>0</v>
      </c>
      <c r="E20" s="779">
        <f>('Sots.majanduslik moju'!X45)/1000000</f>
        <v>27.135000000000002</v>
      </c>
      <c r="F20" s="780">
        <v>0</v>
      </c>
      <c r="G20" s="779">
        <f>('Sots.majanduslik moju'!Y45)/1000000</f>
        <v>53.265000000000001</v>
      </c>
      <c r="H20" s="780">
        <v>0</v>
      </c>
    </row>
    <row r="21" spans="1:9" ht="24" customHeight="1" x14ac:dyDescent="0.3">
      <c r="A21" s="778" t="s">
        <v>282</v>
      </c>
      <c r="B21" s="778"/>
      <c r="C21" s="779">
        <f>('Sots.majanduslik moju'!W46)/1000000</f>
        <v>1.6080000000000003</v>
      </c>
      <c r="D21" s="780">
        <v>0</v>
      </c>
      <c r="E21" s="779">
        <f>('Sots.majanduslik moju'!X46)/1000000</f>
        <v>21.707999999999998</v>
      </c>
      <c r="F21" s="780">
        <v>0</v>
      </c>
      <c r="G21" s="779">
        <f>('Sots.majanduslik moju'!Y46)/1000000</f>
        <v>42.612000000000002</v>
      </c>
      <c r="H21" s="780">
        <v>0</v>
      </c>
    </row>
    <row r="22" spans="1:9" ht="20.25" customHeight="1" x14ac:dyDescent="0.3">
      <c r="A22" s="778" t="s">
        <v>283</v>
      </c>
      <c r="B22" s="778"/>
      <c r="C22" s="779">
        <f>('Sots.majanduslik moju'!W47)/1000000</f>
        <v>1.68</v>
      </c>
      <c r="D22" s="780">
        <v>0</v>
      </c>
      <c r="E22" s="779">
        <f>('Sots.majanduslik moju'!X47)/1000000</f>
        <v>22.68</v>
      </c>
      <c r="F22" s="780">
        <v>0</v>
      </c>
      <c r="G22" s="779">
        <f>('Sots.majanduslik moju'!Y47)/1000000</f>
        <v>44.52</v>
      </c>
      <c r="H22" s="780">
        <v>0</v>
      </c>
    </row>
    <row r="27" spans="1:9" ht="33.75" customHeight="1" x14ac:dyDescent="0.3">
      <c r="A27" s="516" t="s">
        <v>336</v>
      </c>
      <c r="B27" s="514" t="s">
        <v>333</v>
      </c>
      <c r="C27" s="514" t="s">
        <v>334</v>
      </c>
      <c r="D27" s="514" t="s">
        <v>335</v>
      </c>
    </row>
    <row r="28" spans="1:9" x14ac:dyDescent="0.3">
      <c r="A28" s="516" t="s">
        <v>337</v>
      </c>
      <c r="B28" s="515" t="e">
        <f>#REF!</f>
        <v>#REF!</v>
      </c>
      <c r="C28" s="515" t="e">
        <f>#REF!</f>
        <v>#REF!</v>
      </c>
      <c r="D28" s="515" t="e">
        <f>#REF!</f>
        <v>#REF!</v>
      </c>
    </row>
    <row r="30" spans="1:9" ht="15.5" x14ac:dyDescent="0.3">
      <c r="D30" s="786"/>
      <c r="E30" s="787"/>
      <c r="F30" s="787"/>
      <c r="G30" s="787"/>
      <c r="H30" s="787"/>
      <c r="I30" s="787"/>
    </row>
    <row r="33" spans="1:13" ht="20.25" customHeight="1" x14ac:dyDescent="0.3">
      <c r="A33" s="773"/>
      <c r="B33" s="773"/>
      <c r="C33" s="773"/>
      <c r="D33" s="773" t="s">
        <v>338</v>
      </c>
      <c r="E33" s="773"/>
      <c r="F33" s="773"/>
      <c r="G33" s="773"/>
      <c r="H33" s="773"/>
      <c r="I33" s="773"/>
    </row>
    <row r="34" spans="1:13" ht="16.5" customHeight="1" x14ac:dyDescent="0.3">
      <c r="A34" s="773"/>
      <c r="B34" s="773"/>
      <c r="C34" s="773"/>
      <c r="D34" s="773" t="s">
        <v>340</v>
      </c>
      <c r="E34" s="773"/>
      <c r="F34" s="773" t="s">
        <v>341</v>
      </c>
      <c r="G34" s="773"/>
      <c r="H34" s="773" t="s">
        <v>342</v>
      </c>
      <c r="I34" s="773"/>
    </row>
    <row r="35" spans="1:13" ht="15.5" x14ac:dyDescent="0.3">
      <c r="A35" s="773"/>
      <c r="B35" s="773"/>
      <c r="C35" s="773"/>
      <c r="D35" s="789" t="e">
        <f>B28</f>
        <v>#REF!</v>
      </c>
      <c r="E35" s="789"/>
      <c r="F35" s="789" t="e">
        <f>C28</f>
        <v>#REF!</v>
      </c>
      <c r="G35" s="789"/>
      <c r="H35" s="789" t="e">
        <f>D28</f>
        <v>#REF!</v>
      </c>
      <c r="I35" s="789"/>
    </row>
    <row r="36" spans="1:13" ht="15.5" x14ac:dyDescent="0.3">
      <c r="A36" s="788" t="s">
        <v>339</v>
      </c>
      <c r="B36" s="788"/>
      <c r="C36" s="788"/>
      <c r="D36" s="790">
        <f>'2. Tulud-kulud projektiga'!G53</f>
        <v>155660</v>
      </c>
      <c r="E36" s="790"/>
      <c r="F36" s="790">
        <f>'2. Tulud-kulud projektiga'!K53</f>
        <v>72880</v>
      </c>
      <c r="G36" s="790"/>
      <c r="H36" s="790">
        <f>'2. Tulud-kulud projektiga'!O53</f>
        <v>71140</v>
      </c>
      <c r="I36" s="790"/>
      <c r="K36" s="478" t="e">
        <f>#REF!</f>
        <v>#REF!</v>
      </c>
      <c r="L36" s="478" t="e">
        <f>#REF!</f>
        <v>#REF!</v>
      </c>
      <c r="M36" s="478" t="e">
        <f>#REF!</f>
        <v>#REF!</v>
      </c>
    </row>
    <row r="37" spans="1:13" ht="32.25" customHeight="1" x14ac:dyDescent="0.3">
      <c r="A37" s="788" t="s">
        <v>343</v>
      </c>
      <c r="B37" s="788"/>
      <c r="C37" s="788"/>
      <c r="D37" s="790">
        <f>'2. Tulud-kulud projektiga'!G118</f>
        <v>79181.067999999999</v>
      </c>
      <c r="E37" s="790"/>
      <c r="F37" s="790">
        <f>'2. Tulud-kulud projektiga'!K118</f>
        <v>77832.40400000001</v>
      </c>
      <c r="G37" s="790"/>
      <c r="H37" s="790">
        <f>'2. Tulud-kulud projektiga'!O118</f>
        <v>77697.852000000014</v>
      </c>
      <c r="I37" s="790"/>
      <c r="K37" s="519" t="e">
        <f>K36/D36</f>
        <v>#REF!</v>
      </c>
      <c r="L37" s="519" t="e">
        <f>L36/F36</f>
        <v>#REF!</v>
      </c>
      <c r="M37" s="519" t="e">
        <f>M36/H36</f>
        <v>#REF!</v>
      </c>
    </row>
    <row r="38" spans="1:13" ht="15.5" x14ac:dyDescent="0.3">
      <c r="A38" s="788" t="s">
        <v>344</v>
      </c>
      <c r="B38" s="788"/>
      <c r="C38" s="788"/>
      <c r="D38" s="790">
        <f>D36-D37</f>
        <v>76478.932000000001</v>
      </c>
      <c r="E38" s="790"/>
      <c r="F38" s="790">
        <f t="shared" ref="F38" si="0">F36-F37</f>
        <v>-4952.4040000000095</v>
      </c>
      <c r="G38" s="790"/>
      <c r="H38" s="790">
        <f t="shared" ref="H38" si="1">H36-H37</f>
        <v>-6557.8520000000135</v>
      </c>
      <c r="I38" s="790"/>
    </row>
    <row r="39" spans="1:13" ht="15.5" x14ac:dyDescent="0.3">
      <c r="A39" s="788" t="s">
        <v>345</v>
      </c>
      <c r="B39" s="788"/>
      <c r="C39" s="788"/>
      <c r="D39" s="790" t="e">
        <f>D38-#REF!</f>
        <v>#REF!</v>
      </c>
      <c r="E39" s="790"/>
      <c r="F39" s="790" t="e">
        <f>F38-#REF!</f>
        <v>#REF!</v>
      </c>
      <c r="G39" s="790"/>
      <c r="H39" s="790" t="e">
        <f>H38-#REF!</f>
        <v>#REF!</v>
      </c>
      <c r="I39" s="790"/>
    </row>
  </sheetData>
  <mergeCells count="71">
    <mergeCell ref="F38:G38"/>
    <mergeCell ref="F39:G39"/>
    <mergeCell ref="H35:I35"/>
    <mergeCell ref="H36:I36"/>
    <mergeCell ref="H37:I37"/>
    <mergeCell ref="H38:I38"/>
    <mergeCell ref="H39:I39"/>
    <mergeCell ref="F35:G35"/>
    <mergeCell ref="F36:G36"/>
    <mergeCell ref="F37:G37"/>
    <mergeCell ref="A36:C36"/>
    <mergeCell ref="A37:C37"/>
    <mergeCell ref="A38:C38"/>
    <mergeCell ref="A39:C39"/>
    <mergeCell ref="D35:E35"/>
    <mergeCell ref="D36:E36"/>
    <mergeCell ref="D37:E37"/>
    <mergeCell ref="D38:E38"/>
    <mergeCell ref="D39:E39"/>
    <mergeCell ref="A33:C35"/>
    <mergeCell ref="D30:I30"/>
    <mergeCell ref="D33:I33"/>
    <mergeCell ref="D34:E34"/>
    <mergeCell ref="F34:G34"/>
    <mergeCell ref="H34:I34"/>
    <mergeCell ref="A22:B22"/>
    <mergeCell ref="C22:D22"/>
    <mergeCell ref="E22:F22"/>
    <mergeCell ref="G22:H22"/>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A16:B16"/>
    <mergeCell ref="C16:D16"/>
    <mergeCell ref="E16:F16"/>
    <mergeCell ref="G16:H16"/>
    <mergeCell ref="A17:B17"/>
    <mergeCell ref="C17:D17"/>
    <mergeCell ref="E17:F17"/>
    <mergeCell ref="G17:H17"/>
    <mergeCell ref="A14:B14"/>
    <mergeCell ref="C14:D14"/>
    <mergeCell ref="E14:F14"/>
    <mergeCell ref="G14:H14"/>
    <mergeCell ref="A15:B15"/>
    <mergeCell ref="C15:D15"/>
    <mergeCell ref="E15:F15"/>
    <mergeCell ref="G15:H15"/>
    <mergeCell ref="A7:B7"/>
    <mergeCell ref="C12:H12"/>
    <mergeCell ref="C13:D13"/>
    <mergeCell ref="E13:F13"/>
    <mergeCell ref="G13:H13"/>
    <mergeCell ref="A6:B6"/>
    <mergeCell ref="C2:D3"/>
    <mergeCell ref="A2:B3"/>
    <mergeCell ref="A4:B4"/>
    <mergeCell ref="A5:B5"/>
  </mergeCells>
  <conditionalFormatting sqref="F6:F7">
    <cfRule type="cellIs" dxfId="0"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topLeftCell="A14" workbookViewId="0">
      <selection activeCell="B20" sqref="B20"/>
    </sheetView>
  </sheetViews>
  <sheetFormatPr defaultColWidth="9.1796875" defaultRowHeight="14.5" x14ac:dyDescent="0.35"/>
  <cols>
    <col min="1" max="1" width="20.1796875" style="288" customWidth="1"/>
    <col min="2" max="2" width="13.54296875" style="280" customWidth="1"/>
    <col min="3" max="3" width="46.1796875" style="70" customWidth="1"/>
    <col min="4" max="4" width="3.81640625" style="70" customWidth="1"/>
    <col min="5" max="16384" width="9.1796875" style="70"/>
  </cols>
  <sheetData>
    <row r="1" spans="1:4" ht="26.25" customHeight="1" x14ac:dyDescent="0.35">
      <c r="A1" s="279" t="s">
        <v>149</v>
      </c>
      <c r="D1" s="277"/>
    </row>
    <row r="3" spans="1:4" ht="63" customHeight="1" x14ac:dyDescent="0.35">
      <c r="A3" s="281" t="s">
        <v>150</v>
      </c>
      <c r="B3" s="651" t="s">
        <v>417</v>
      </c>
      <c r="C3" s="651"/>
    </row>
    <row r="4" spans="1:4" x14ac:dyDescent="0.35">
      <c r="A4" s="282"/>
    </row>
    <row r="5" spans="1:4" ht="42" customHeight="1" x14ac:dyDescent="0.35">
      <c r="A5" s="281" t="s">
        <v>151</v>
      </c>
      <c r="B5" s="652" t="s">
        <v>319</v>
      </c>
      <c r="C5" s="652"/>
    </row>
    <row r="6" spans="1:4" ht="23.25" customHeight="1" x14ac:dyDescent="0.35">
      <c r="A6" s="281" t="s">
        <v>152</v>
      </c>
      <c r="B6" s="652" t="s">
        <v>320</v>
      </c>
      <c r="C6" s="652"/>
    </row>
    <row r="7" spans="1:4" ht="23.25" customHeight="1" x14ac:dyDescent="0.35">
      <c r="A7" s="281" t="s">
        <v>153</v>
      </c>
      <c r="B7" s="653" t="s">
        <v>321</v>
      </c>
      <c r="C7" s="653"/>
    </row>
    <row r="8" spans="1:4" ht="23.25" customHeight="1" x14ac:dyDescent="0.35">
      <c r="A8" s="281" t="s">
        <v>154</v>
      </c>
      <c r="B8" s="654" t="s">
        <v>322</v>
      </c>
      <c r="C8" s="654"/>
    </row>
    <row r="9" spans="1:4" x14ac:dyDescent="0.35">
      <c r="A9" s="282"/>
    </row>
    <row r="10" spans="1:4" ht="33.75" customHeight="1" x14ac:dyDescent="0.35">
      <c r="A10" s="281" t="s">
        <v>155</v>
      </c>
      <c r="B10" s="284">
        <v>2024</v>
      </c>
      <c r="C10" s="285"/>
    </row>
    <row r="11" spans="1:4" ht="35.25" customHeight="1" x14ac:dyDescent="0.35">
      <c r="A11" s="281" t="s">
        <v>156</v>
      </c>
      <c r="B11" s="284">
        <v>2038</v>
      </c>
      <c r="C11" s="285"/>
    </row>
    <row r="12" spans="1:4" ht="36" customHeight="1" x14ac:dyDescent="0.35">
      <c r="A12" s="281" t="s">
        <v>157</v>
      </c>
      <c r="B12" s="286">
        <v>15</v>
      </c>
      <c r="C12" s="287" t="s">
        <v>73</v>
      </c>
    </row>
    <row r="13" spans="1:4" ht="81" customHeight="1" x14ac:dyDescent="0.35">
      <c r="A13" s="281" t="s">
        <v>158</v>
      </c>
      <c r="B13" s="655" t="s">
        <v>318</v>
      </c>
      <c r="C13" s="656"/>
    </row>
    <row r="14" spans="1:4" x14ac:dyDescent="0.35">
      <c r="A14" s="282"/>
    </row>
    <row r="15" spans="1:4" ht="20.25" customHeight="1" x14ac:dyDescent="0.35">
      <c r="A15" s="288" t="s">
        <v>159</v>
      </c>
    </row>
    <row r="16" spans="1:4" ht="24.75" customHeight="1" x14ac:dyDescent="0.35">
      <c r="A16" s="281" t="s">
        <v>160</v>
      </c>
      <c r="B16" s="649">
        <v>45292</v>
      </c>
      <c r="C16" s="649"/>
    </row>
    <row r="17" spans="1:3" ht="24.75" customHeight="1" x14ac:dyDescent="0.35">
      <c r="A17" s="281" t="s">
        <v>161</v>
      </c>
      <c r="B17" s="649">
        <v>50770</v>
      </c>
      <c r="C17" s="649"/>
    </row>
    <row r="18" spans="1:3" x14ac:dyDescent="0.35">
      <c r="A18" s="289"/>
      <c r="B18" s="650"/>
      <c r="C18" s="650"/>
    </row>
    <row r="19" spans="1:3" ht="36.75" customHeight="1" x14ac:dyDescent="0.35">
      <c r="A19" s="281" t="s">
        <v>220</v>
      </c>
      <c r="B19" s="649">
        <v>45413</v>
      </c>
      <c r="C19" s="649"/>
    </row>
    <row r="20" spans="1:3" x14ac:dyDescent="0.35">
      <c r="A20" s="282"/>
    </row>
    <row r="21" spans="1:3" x14ac:dyDescent="0.35">
      <c r="A21" s="282"/>
    </row>
    <row r="22" spans="1:3" x14ac:dyDescent="0.35">
      <c r="A22" s="282"/>
    </row>
    <row r="23" spans="1:3" x14ac:dyDescent="0.35">
      <c r="A23" s="282"/>
    </row>
    <row r="24" spans="1:3" x14ac:dyDescent="0.35">
      <c r="A24" s="282"/>
    </row>
    <row r="25" spans="1:3" x14ac:dyDescent="0.35">
      <c r="A25" s="282"/>
    </row>
    <row r="26" spans="1:3" x14ac:dyDescent="0.35">
      <c r="A26" s="282"/>
    </row>
    <row r="27" spans="1:3" x14ac:dyDescent="0.35">
      <c r="A27" s="282"/>
    </row>
    <row r="28" spans="1:3" x14ac:dyDescent="0.35">
      <c r="A28" s="282"/>
    </row>
    <row r="29" spans="1:3" x14ac:dyDescent="0.35">
      <c r="A29" s="282"/>
    </row>
    <row r="30" spans="1:3" x14ac:dyDescent="0.35">
      <c r="A30" s="282"/>
    </row>
    <row r="31" spans="1:3" x14ac:dyDescent="0.35">
      <c r="A31" s="282"/>
    </row>
    <row r="32" spans="1:3" x14ac:dyDescent="0.35">
      <c r="A32" s="282"/>
    </row>
    <row r="33" spans="1:1" x14ac:dyDescent="0.35">
      <c r="A33" s="282"/>
    </row>
    <row r="34" spans="1:1" x14ac:dyDescent="0.35">
      <c r="A34" s="282"/>
    </row>
    <row r="35" spans="1:1" x14ac:dyDescent="0.35">
      <c r="A35" s="282"/>
    </row>
    <row r="36" spans="1:1" x14ac:dyDescent="0.35">
      <c r="A36" s="282"/>
    </row>
    <row r="37" spans="1:1" x14ac:dyDescent="0.35">
      <c r="A37" s="282"/>
    </row>
    <row r="38" spans="1:1" x14ac:dyDescent="0.35">
      <c r="A38" s="282"/>
    </row>
    <row r="39" spans="1:1" x14ac:dyDescent="0.35">
      <c r="A39" s="282"/>
    </row>
    <row r="40" spans="1:1" x14ac:dyDescent="0.35">
      <c r="A40" s="282"/>
    </row>
    <row r="41" spans="1:1" x14ac:dyDescent="0.35">
      <c r="A41" s="282"/>
    </row>
    <row r="42" spans="1:1" x14ac:dyDescent="0.35">
      <c r="A42" s="282"/>
    </row>
    <row r="43" spans="1:1" x14ac:dyDescent="0.35">
      <c r="A43" s="282"/>
    </row>
    <row r="44" spans="1:1" x14ac:dyDescent="0.35">
      <c r="A44" s="282"/>
    </row>
    <row r="45" spans="1:1" x14ac:dyDescent="0.35">
      <c r="A45" s="282"/>
    </row>
    <row r="46" spans="1:1" x14ac:dyDescent="0.35">
      <c r="A46" s="282"/>
    </row>
    <row r="47" spans="1:1" x14ac:dyDescent="0.35">
      <c r="A47" s="282"/>
    </row>
    <row r="48" spans="1:1" x14ac:dyDescent="0.35">
      <c r="A48" s="282"/>
    </row>
  </sheetData>
  <mergeCells count="10">
    <mergeCell ref="B16:C16"/>
    <mergeCell ref="B17:C17"/>
    <mergeCell ref="B18:C18"/>
    <mergeCell ref="B19:C19"/>
    <mergeCell ref="B3:C3"/>
    <mergeCell ref="B5:C5"/>
    <mergeCell ref="B6:C6"/>
    <mergeCell ref="B7:C7"/>
    <mergeCell ref="B8:C8"/>
    <mergeCell ref="B13:C13"/>
  </mergeCells>
  <hyperlinks>
    <hyperlink ref="B7" r:id="rId1" xr:uid="{00000000-0004-0000-0100-000000000000}"/>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67"/>
  <sheetViews>
    <sheetView zoomScale="85" zoomScaleNormal="85" workbookViewId="0">
      <selection activeCell="E9" sqref="E9"/>
    </sheetView>
  </sheetViews>
  <sheetFormatPr defaultColWidth="9.1796875" defaultRowHeight="14.5" outlineLevelCol="1" x14ac:dyDescent="0.35"/>
  <cols>
    <col min="1" max="1" width="16.1796875" style="70" customWidth="1"/>
    <col min="2" max="2" width="29.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67</v>
      </c>
      <c r="D1" s="658" t="s">
        <v>68</v>
      </c>
      <c r="E1" s="658"/>
      <c r="F1" s="658"/>
      <c r="G1" s="658"/>
      <c r="H1" s="658"/>
      <c r="I1" s="658"/>
      <c r="L1" s="130" t="s">
        <v>162</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64</v>
      </c>
      <c r="L2" s="99" t="s">
        <v>62</v>
      </c>
      <c r="M2" s="131" t="s">
        <v>102</v>
      </c>
      <c r="N2" s="131" t="s">
        <v>103</v>
      </c>
      <c r="O2" s="131" t="s">
        <v>163</v>
      </c>
    </row>
    <row r="3" spans="1:15" ht="3.75" customHeight="1" x14ac:dyDescent="0.35">
      <c r="A3" s="84"/>
      <c r="B3" s="89"/>
      <c r="C3" s="85"/>
      <c r="D3" s="86"/>
      <c r="E3" s="86"/>
      <c r="F3" s="86"/>
      <c r="G3" s="86"/>
      <c r="H3" s="86"/>
      <c r="I3" s="86"/>
      <c r="J3" s="87"/>
      <c r="L3" s="91"/>
      <c r="M3" s="74"/>
      <c r="N3" s="74"/>
      <c r="O3" s="134"/>
    </row>
    <row r="4" spans="1:15" ht="21" customHeight="1" x14ac:dyDescent="0.35">
      <c r="A4" s="660" t="s">
        <v>113</v>
      </c>
      <c r="B4" s="661"/>
      <c r="C4" s="76" t="s">
        <v>3</v>
      </c>
      <c r="D4" s="92"/>
      <c r="E4" s="92"/>
      <c r="F4" s="92"/>
      <c r="G4" s="92"/>
      <c r="H4" s="92"/>
      <c r="I4" s="92"/>
      <c r="J4" s="93">
        <f t="shared" ref="J4" si="1">SUM(D4:I4)</f>
        <v>0</v>
      </c>
      <c r="L4" s="72"/>
      <c r="M4" s="72"/>
      <c r="N4" s="72"/>
      <c r="O4" s="132">
        <f>IF(M4=$M$56,N4+L4-1,N4+L4)</f>
        <v>0</v>
      </c>
    </row>
    <row r="5" spans="1:15" ht="3.75" customHeight="1" x14ac:dyDescent="0.35">
      <c r="A5" s="73"/>
      <c r="B5" s="90"/>
      <c r="C5" s="74"/>
      <c r="D5" s="94"/>
      <c r="E5" s="94"/>
      <c r="F5" s="94"/>
      <c r="G5" s="94"/>
      <c r="H5" s="94"/>
      <c r="I5" s="94"/>
      <c r="J5" s="95"/>
      <c r="L5" s="4"/>
      <c r="M5" s="74"/>
      <c r="N5" s="74"/>
      <c r="O5" s="134"/>
    </row>
    <row r="6" spans="1:15" ht="21" customHeight="1" x14ac:dyDescent="0.35">
      <c r="A6" s="662" t="s">
        <v>243</v>
      </c>
      <c r="B6" s="663"/>
      <c r="C6" s="76" t="s">
        <v>3</v>
      </c>
      <c r="D6" s="92">
        <v>50000</v>
      </c>
      <c r="E6" s="92"/>
      <c r="F6" s="92"/>
      <c r="G6" s="92"/>
      <c r="H6" s="92"/>
      <c r="I6" s="92"/>
      <c r="J6" s="93">
        <f>SUM(D6:I6)</f>
        <v>50000</v>
      </c>
      <c r="L6" s="72"/>
      <c r="M6" s="72"/>
      <c r="N6" s="72"/>
      <c r="O6" s="132">
        <f>IF(M6=$M$56,N6+L6-1,N6+L6)</f>
        <v>0</v>
      </c>
    </row>
    <row r="7" spans="1:15" ht="3.75" customHeight="1" x14ac:dyDescent="0.35">
      <c r="A7" s="73"/>
      <c r="B7" s="90"/>
      <c r="C7" s="74"/>
      <c r="D7" s="94"/>
      <c r="E7" s="94"/>
      <c r="F7" s="94"/>
      <c r="G7" s="94"/>
      <c r="H7" s="94"/>
      <c r="I7" s="94"/>
      <c r="J7" s="95"/>
      <c r="L7" s="4"/>
      <c r="M7" s="74"/>
      <c r="N7" s="74"/>
      <c r="O7" s="134"/>
    </row>
    <row r="8" spans="1:15" ht="22.5" customHeight="1" x14ac:dyDescent="0.35">
      <c r="A8" s="659" t="s">
        <v>242</v>
      </c>
      <c r="B8" s="361" t="s">
        <v>360</v>
      </c>
      <c r="C8" s="76" t="s">
        <v>3</v>
      </c>
      <c r="D8" s="92"/>
      <c r="E8" s="520">
        <v>589512</v>
      </c>
      <c r="F8" s="92"/>
      <c r="G8" s="92"/>
      <c r="H8" s="92"/>
      <c r="I8" s="92"/>
      <c r="J8" s="93">
        <f>SUM(D8:I8)</f>
        <v>589512</v>
      </c>
      <c r="L8" s="72">
        <v>25</v>
      </c>
      <c r="M8" s="72" t="s">
        <v>108</v>
      </c>
      <c r="N8" s="72">
        <v>2026</v>
      </c>
      <c r="O8" s="132">
        <f t="shared" ref="O8:O16" si="2">IF(M8=$M$56,N8+L8-1,N8+L8)</f>
        <v>2051</v>
      </c>
    </row>
    <row r="9" spans="1:15" ht="34.5" customHeight="1" x14ac:dyDescent="0.35">
      <c r="A9" s="659"/>
      <c r="B9" s="361" t="s">
        <v>420</v>
      </c>
      <c r="C9" s="76" t="s">
        <v>3</v>
      </c>
      <c r="D9" s="92"/>
      <c r="E9" s="520">
        <v>50000</v>
      </c>
      <c r="F9" s="92"/>
      <c r="G9" s="92"/>
      <c r="H9" s="92"/>
      <c r="I9" s="92"/>
      <c r="J9" s="93">
        <f t="shared" ref="J9:J16" si="3">SUM(D9:I9)</f>
        <v>50000</v>
      </c>
      <c r="L9" s="72">
        <v>25</v>
      </c>
      <c r="M9" s="72" t="s">
        <v>108</v>
      </c>
      <c r="N9" s="72">
        <v>2026</v>
      </c>
      <c r="O9" s="132">
        <f t="shared" si="2"/>
        <v>2051</v>
      </c>
    </row>
    <row r="10" spans="1:15" ht="16.5" customHeight="1" x14ac:dyDescent="0.35">
      <c r="A10" s="659"/>
      <c r="B10" s="361" t="s">
        <v>354</v>
      </c>
      <c r="C10" s="76" t="s">
        <v>3</v>
      </c>
      <c r="D10" s="92"/>
      <c r="E10" s="92">
        <v>25000</v>
      </c>
      <c r="F10" s="92"/>
      <c r="G10" s="92"/>
      <c r="H10" s="92"/>
      <c r="I10" s="92"/>
      <c r="J10" s="93">
        <f t="shared" si="3"/>
        <v>25000</v>
      </c>
      <c r="L10" s="72">
        <v>25</v>
      </c>
      <c r="M10" s="72" t="s">
        <v>108</v>
      </c>
      <c r="N10" s="72">
        <v>2026</v>
      </c>
      <c r="O10" s="132">
        <f t="shared" si="2"/>
        <v>2051</v>
      </c>
    </row>
    <row r="11" spans="1:15" ht="16.5" customHeight="1" x14ac:dyDescent="0.35">
      <c r="A11" s="659"/>
      <c r="B11" s="361" t="s">
        <v>355</v>
      </c>
      <c r="C11" s="76" t="s">
        <v>3</v>
      </c>
      <c r="D11" s="92"/>
      <c r="E11" s="92">
        <v>63930.479999999996</v>
      </c>
      <c r="F11" s="92"/>
      <c r="G11" s="92"/>
      <c r="H11" s="92"/>
      <c r="I11" s="92"/>
      <c r="J11" s="93">
        <f t="shared" ref="J11:J12" si="4">SUM(D11:I11)</f>
        <v>63930.479999999996</v>
      </c>
      <c r="L11" s="72">
        <v>25</v>
      </c>
      <c r="M11" s="72" t="s">
        <v>108</v>
      </c>
      <c r="N11" s="72">
        <v>2026</v>
      </c>
      <c r="O11" s="132">
        <f t="shared" si="2"/>
        <v>2051</v>
      </c>
    </row>
    <row r="12" spans="1:15" ht="16.5" customHeight="1" x14ac:dyDescent="0.35">
      <c r="A12" s="659"/>
      <c r="B12" s="361" t="s">
        <v>356</v>
      </c>
      <c r="C12" s="76" t="s">
        <v>3</v>
      </c>
      <c r="D12" s="92"/>
      <c r="E12" s="92">
        <v>94179.8</v>
      </c>
      <c r="F12" s="92"/>
      <c r="G12" s="92"/>
      <c r="H12" s="92"/>
      <c r="I12" s="92"/>
      <c r="J12" s="93">
        <f t="shared" si="4"/>
        <v>94179.8</v>
      </c>
      <c r="L12" s="72">
        <v>25</v>
      </c>
      <c r="M12" s="72" t="s">
        <v>108</v>
      </c>
      <c r="N12" s="72">
        <v>2026</v>
      </c>
      <c r="O12" s="132">
        <f t="shared" si="2"/>
        <v>2051</v>
      </c>
    </row>
    <row r="13" spans="1:15" ht="16.5" customHeight="1" x14ac:dyDescent="0.35">
      <c r="A13" s="659"/>
      <c r="B13" s="361" t="s">
        <v>357</v>
      </c>
      <c r="C13" s="76" t="s">
        <v>3</v>
      </c>
      <c r="D13" s="92"/>
      <c r="E13" s="92">
        <v>129167.5</v>
      </c>
      <c r="F13" s="92"/>
      <c r="G13" s="92"/>
      <c r="H13" s="92"/>
      <c r="I13" s="92"/>
      <c r="J13" s="93"/>
      <c r="L13" s="72">
        <v>25</v>
      </c>
      <c r="M13" s="72" t="s">
        <v>108</v>
      </c>
      <c r="N13" s="72">
        <v>2026</v>
      </c>
      <c r="O13" s="132">
        <f t="shared" si="2"/>
        <v>2051</v>
      </c>
    </row>
    <row r="14" spans="1:15" ht="16.5" customHeight="1" x14ac:dyDescent="0.35">
      <c r="A14" s="659"/>
      <c r="B14" s="361" t="s">
        <v>358</v>
      </c>
      <c r="C14" s="76" t="s">
        <v>3</v>
      </c>
      <c r="D14" s="92"/>
      <c r="E14" s="92">
        <v>18331.5</v>
      </c>
      <c r="F14" s="92"/>
      <c r="G14" s="92"/>
      <c r="H14" s="92"/>
      <c r="I14" s="92"/>
      <c r="J14" s="93"/>
      <c r="L14" s="72">
        <v>25</v>
      </c>
      <c r="M14" s="72" t="s">
        <v>108</v>
      </c>
      <c r="N14" s="72">
        <v>2026</v>
      </c>
      <c r="O14" s="132">
        <f t="shared" si="2"/>
        <v>2051</v>
      </c>
    </row>
    <row r="15" spans="1:15" ht="16.5" customHeight="1" x14ac:dyDescent="0.35">
      <c r="A15" s="659"/>
      <c r="B15" s="361" t="s">
        <v>359</v>
      </c>
      <c r="C15" s="76" t="s">
        <v>3</v>
      </c>
      <c r="D15" s="92"/>
      <c r="E15" s="92">
        <v>141263</v>
      </c>
      <c r="F15" s="92"/>
      <c r="G15" s="92"/>
      <c r="H15" s="92"/>
      <c r="I15" s="92"/>
      <c r="J15" s="93">
        <f t="shared" si="3"/>
        <v>141263</v>
      </c>
      <c r="L15" s="72">
        <v>25</v>
      </c>
      <c r="M15" s="72" t="s">
        <v>108</v>
      </c>
      <c r="N15" s="72">
        <v>2026</v>
      </c>
      <c r="O15" s="132">
        <f t="shared" si="2"/>
        <v>2051</v>
      </c>
    </row>
    <row r="16" spans="1:15" ht="16.5" customHeight="1" x14ac:dyDescent="0.35">
      <c r="A16" s="659"/>
      <c r="B16" s="361" t="s">
        <v>421</v>
      </c>
      <c r="C16" s="76" t="s">
        <v>3</v>
      </c>
      <c r="D16" s="92"/>
      <c r="E16" s="92">
        <f>ROUND(SUM(E8:E15)*0.1,0)</f>
        <v>111138</v>
      </c>
      <c r="F16" s="92"/>
      <c r="G16" s="92"/>
      <c r="H16" s="92"/>
      <c r="I16" s="92"/>
      <c r="J16" s="93">
        <f t="shared" si="3"/>
        <v>111138</v>
      </c>
      <c r="L16" s="72">
        <v>25</v>
      </c>
      <c r="M16" s="72" t="s">
        <v>108</v>
      </c>
      <c r="N16" s="72">
        <v>2026</v>
      </c>
      <c r="O16" s="132">
        <f t="shared" si="2"/>
        <v>2051</v>
      </c>
    </row>
    <row r="17" spans="1:15" ht="18" customHeight="1" x14ac:dyDescent="0.35">
      <c r="A17" s="657" t="s">
        <v>138</v>
      </c>
      <c r="B17" s="657"/>
      <c r="C17" s="77" t="s">
        <v>3</v>
      </c>
      <c r="D17" s="93">
        <f t="shared" ref="D17:I17" si="5">SUBTOTAL(9,D8:D16)</f>
        <v>0</v>
      </c>
      <c r="E17" s="93">
        <f>SUBTOTAL(9,E8:E16)</f>
        <v>1222522.28</v>
      </c>
      <c r="F17" s="93">
        <f t="shared" si="5"/>
        <v>0</v>
      </c>
      <c r="G17" s="93">
        <f t="shared" si="5"/>
        <v>0</v>
      </c>
      <c r="H17" s="93">
        <f t="shared" si="5"/>
        <v>0</v>
      </c>
      <c r="I17" s="93">
        <f t="shared" si="5"/>
        <v>0</v>
      </c>
      <c r="J17" s="93">
        <f t="shared" ref="J17" si="6">SUM(D17:I17)</f>
        <v>1222522.28</v>
      </c>
      <c r="L17" s="138"/>
      <c r="M17" s="139"/>
      <c r="N17" s="139"/>
      <c r="O17" s="140"/>
    </row>
    <row r="18" spans="1:15" ht="3.75" customHeight="1" x14ac:dyDescent="0.35">
      <c r="A18" s="73"/>
      <c r="B18" s="90"/>
      <c r="C18" s="74"/>
      <c r="D18" s="94"/>
      <c r="E18" s="94"/>
      <c r="F18" s="94"/>
      <c r="G18" s="94"/>
      <c r="H18" s="94"/>
      <c r="I18" s="94"/>
      <c r="J18" s="95"/>
      <c r="L18" s="141"/>
      <c r="M18" s="142"/>
      <c r="N18" s="142"/>
      <c r="O18" s="143"/>
    </row>
    <row r="19" spans="1:15" ht="21" hidden="1" customHeight="1" x14ac:dyDescent="0.35">
      <c r="A19" s="667"/>
      <c r="B19" s="668"/>
      <c r="C19" s="76" t="s">
        <v>3</v>
      </c>
      <c r="D19" s="92"/>
      <c r="E19" s="92"/>
      <c r="F19" s="92"/>
      <c r="G19" s="92"/>
      <c r="H19" s="92"/>
      <c r="I19" s="92"/>
      <c r="J19" s="93">
        <f>SUM(D19:I19)</f>
        <v>0</v>
      </c>
      <c r="L19" s="72"/>
      <c r="M19" s="72"/>
      <c r="N19" s="72"/>
      <c r="O19" s="132">
        <f>IF(M19=$M$56,N19+L19-1,N19+L19)</f>
        <v>0</v>
      </c>
    </row>
    <row r="20" spans="1:15" ht="3.75" hidden="1" customHeight="1" x14ac:dyDescent="0.35">
      <c r="A20" s="73"/>
      <c r="B20" s="90"/>
      <c r="C20" s="74"/>
      <c r="D20" s="94"/>
      <c r="E20" s="94"/>
      <c r="F20" s="94"/>
      <c r="G20" s="94"/>
      <c r="H20" s="94"/>
      <c r="I20" s="94"/>
      <c r="J20" s="96"/>
      <c r="L20" s="4"/>
      <c r="M20" s="74"/>
      <c r="N20" s="74"/>
      <c r="O20" s="134"/>
    </row>
    <row r="21" spans="1:15" ht="32.25" customHeight="1" x14ac:dyDescent="0.35">
      <c r="A21" s="662" t="s">
        <v>244</v>
      </c>
      <c r="B21" s="663"/>
      <c r="C21" s="76" t="s">
        <v>3</v>
      </c>
      <c r="D21" s="92"/>
      <c r="E21" s="92"/>
      <c r="F21" s="92"/>
      <c r="G21" s="92"/>
      <c r="H21" s="92"/>
      <c r="I21" s="92"/>
      <c r="J21" s="93">
        <f>SUM(D21:I21)</f>
        <v>0</v>
      </c>
      <c r="L21" s="72"/>
      <c r="M21" s="72"/>
      <c r="N21" s="72"/>
      <c r="O21" s="132">
        <f>IF(M21=$M$56,N21+L21-1,N21+L21)</f>
        <v>0</v>
      </c>
    </row>
    <row r="22" spans="1:15" ht="3.75" customHeight="1" x14ac:dyDescent="0.35">
      <c r="A22" s="73"/>
      <c r="B22" s="90"/>
      <c r="C22" s="74"/>
      <c r="D22" s="94"/>
      <c r="E22" s="94"/>
      <c r="F22" s="94"/>
      <c r="G22" s="94"/>
      <c r="H22" s="94"/>
      <c r="I22" s="94"/>
      <c r="J22" s="96"/>
      <c r="L22" s="4"/>
      <c r="M22" s="74"/>
      <c r="N22" s="74"/>
      <c r="O22" s="134"/>
    </row>
    <row r="23" spans="1:15" s="81" customFormat="1" ht="21.75" customHeight="1" x14ac:dyDescent="0.35">
      <c r="A23" s="670" t="s">
        <v>63</v>
      </c>
      <c r="B23" s="671"/>
      <c r="C23" s="79" t="s">
        <v>3</v>
      </c>
      <c r="D23" s="97">
        <f t="shared" ref="D23:I23" si="7">SUBTOTAL(9,D4:D21)</f>
        <v>50000</v>
      </c>
      <c r="E23" s="97">
        <f t="shared" si="7"/>
        <v>1222522.28</v>
      </c>
      <c r="F23" s="97">
        <f t="shared" si="7"/>
        <v>0</v>
      </c>
      <c r="G23" s="97">
        <f t="shared" si="7"/>
        <v>0</v>
      </c>
      <c r="H23" s="97">
        <f t="shared" si="7"/>
        <v>0</v>
      </c>
      <c r="I23" s="97">
        <f t="shared" si="7"/>
        <v>0</v>
      </c>
      <c r="J23" s="97">
        <f>SUM(D23:I23)</f>
        <v>1272522.28</v>
      </c>
      <c r="K23" s="80"/>
      <c r="L23" s="664" t="s">
        <v>112</v>
      </c>
      <c r="M23" s="665"/>
      <c r="N23" s="666"/>
      <c r="O23" s="133">
        <f>MAX(O5:O21)</f>
        <v>2051</v>
      </c>
    </row>
    <row r="24" spans="1:15" ht="3.75" customHeight="1" x14ac:dyDescent="0.35">
      <c r="A24" s="73"/>
      <c r="B24" s="90"/>
      <c r="C24" s="74"/>
      <c r="D24" s="18"/>
      <c r="E24" s="18"/>
      <c r="F24" s="18"/>
      <c r="G24" s="18"/>
      <c r="H24" s="18"/>
      <c r="I24" s="18"/>
      <c r="J24" s="78"/>
      <c r="L24" s="4"/>
      <c r="M24" s="74"/>
      <c r="N24" s="74"/>
      <c r="O24" s="134"/>
    </row>
    <row r="25" spans="1:15" ht="28.5" customHeight="1" x14ac:dyDescent="0.35">
      <c r="A25" s="23"/>
      <c r="L25" s="672" t="s">
        <v>164</v>
      </c>
      <c r="M25" s="672"/>
      <c r="N25" s="672"/>
      <c r="O25" s="72">
        <f>IF(O23&lt;=Esileht!B11,0,O23-Esileht!B11)</f>
        <v>13</v>
      </c>
    </row>
    <row r="26" spans="1:15" ht="8.25" customHeight="1" x14ac:dyDescent="0.35">
      <c r="A26" s="1"/>
    </row>
    <row r="27" spans="1:15" ht="22.5" customHeight="1" x14ac:dyDescent="0.35">
      <c r="A27" s="98" t="s">
        <v>66</v>
      </c>
    </row>
    <row r="28" spans="1:15" ht="28.5" customHeight="1" x14ac:dyDescent="0.35">
      <c r="A28" s="82"/>
      <c r="B28" s="88"/>
      <c r="C28" s="75" t="s">
        <v>2</v>
      </c>
      <c r="D28" s="83">
        <f>D2</f>
        <v>2024</v>
      </c>
      <c r="E28" s="83">
        <f>D28+1</f>
        <v>2025</v>
      </c>
      <c r="F28" s="83">
        <f t="shared" ref="F28" si="8">E28+1</f>
        <v>2026</v>
      </c>
      <c r="G28" s="83">
        <f t="shared" ref="G28" si="9">F28+1</f>
        <v>2027</v>
      </c>
      <c r="H28" s="83">
        <f t="shared" ref="H28" si="10">G28+1</f>
        <v>2028</v>
      </c>
      <c r="I28" s="83">
        <f t="shared" ref="I28" si="11">H28+1</f>
        <v>2029</v>
      </c>
      <c r="J28" s="83" t="s">
        <v>64</v>
      </c>
    </row>
    <row r="29" spans="1:15" ht="3.75" customHeight="1" x14ac:dyDescent="0.35">
      <c r="A29" s="84"/>
      <c r="B29" s="89"/>
      <c r="C29" s="85"/>
      <c r="D29" s="86"/>
      <c r="E29" s="86"/>
      <c r="F29" s="86"/>
      <c r="G29" s="86"/>
      <c r="H29" s="86"/>
      <c r="I29" s="86"/>
      <c r="J29" s="87"/>
    </row>
    <row r="30" spans="1:15" ht="21" customHeight="1" x14ac:dyDescent="0.35">
      <c r="A30" s="660" t="s">
        <v>113</v>
      </c>
      <c r="B30" s="661"/>
      <c r="C30" s="76" t="s">
        <v>3</v>
      </c>
      <c r="D30" s="92"/>
      <c r="E30" s="92"/>
      <c r="F30" s="92"/>
      <c r="G30" s="92"/>
      <c r="H30" s="92"/>
      <c r="I30" s="92"/>
      <c r="J30" s="93">
        <f t="shared" ref="J30" si="12">SUM(D30:I30)</f>
        <v>0</v>
      </c>
    </row>
    <row r="31" spans="1:15" ht="3.75" customHeight="1" x14ac:dyDescent="0.35">
      <c r="A31" s="73"/>
      <c r="B31" s="90"/>
      <c r="C31" s="74"/>
      <c r="D31" s="94"/>
      <c r="E31" s="94"/>
      <c r="F31" s="94"/>
      <c r="G31" s="94"/>
      <c r="H31" s="94"/>
      <c r="I31" s="94"/>
      <c r="J31" s="95"/>
    </row>
    <row r="32" spans="1:15" ht="21" customHeight="1" x14ac:dyDescent="0.35">
      <c r="A32" s="662" t="s">
        <v>114</v>
      </c>
      <c r="B32" s="663"/>
      <c r="C32" s="76" t="s">
        <v>3</v>
      </c>
      <c r="D32" s="92">
        <f>D6</f>
        <v>50000</v>
      </c>
      <c r="E32" s="92"/>
      <c r="F32" s="92"/>
      <c r="G32" s="92"/>
      <c r="H32" s="92"/>
      <c r="I32" s="92"/>
      <c r="J32" s="93">
        <f>SUM(D32:I32)</f>
        <v>50000</v>
      </c>
    </row>
    <row r="33" spans="1:16" ht="3.75" customHeight="1" x14ac:dyDescent="0.35">
      <c r="A33" s="73"/>
      <c r="B33" s="90"/>
      <c r="C33" s="74"/>
      <c r="D33" s="94"/>
      <c r="E33" s="94"/>
      <c r="F33" s="94"/>
      <c r="G33" s="94"/>
      <c r="H33" s="94"/>
      <c r="I33" s="94"/>
      <c r="J33" s="95"/>
    </row>
    <row r="34" spans="1:16" ht="19.5" customHeight="1" x14ac:dyDescent="0.35">
      <c r="A34" s="659" t="str">
        <f>A8</f>
        <v>3. Ehitamine</v>
      </c>
      <c r="B34" s="135" t="str">
        <f t="shared" ref="B34:B42" si="13">B8</f>
        <v>Sõiduteed</v>
      </c>
      <c r="C34" s="76" t="s">
        <v>3</v>
      </c>
      <c r="D34" s="92"/>
      <c r="E34" s="92">
        <f>E8</f>
        <v>589512</v>
      </c>
      <c r="F34" s="92"/>
      <c r="G34" s="92"/>
      <c r="H34" s="92"/>
      <c r="I34" s="92"/>
      <c r="J34" s="93">
        <f>SUM(D34:I34)</f>
        <v>589512</v>
      </c>
    </row>
    <row r="35" spans="1:16" ht="29.25" customHeight="1" x14ac:dyDescent="0.35">
      <c r="A35" s="659"/>
      <c r="B35" s="135" t="str">
        <f t="shared" si="13"/>
        <v>keskküttetrassi tööd</v>
      </c>
      <c r="C35" s="76" t="s">
        <v>3</v>
      </c>
      <c r="D35" s="92"/>
      <c r="E35" s="92">
        <f>E9</f>
        <v>50000</v>
      </c>
      <c r="F35" s="92">
        <f>F9</f>
        <v>0</v>
      </c>
      <c r="G35" s="92"/>
      <c r="H35" s="92"/>
      <c r="I35" s="92"/>
      <c r="J35" s="93">
        <f t="shared" ref="J35:J42" si="14">SUM(D35:I35)</f>
        <v>50000</v>
      </c>
    </row>
    <row r="36" spans="1:16" ht="20.25" customHeight="1" x14ac:dyDescent="0.35">
      <c r="A36" s="659"/>
      <c r="B36" s="135" t="str">
        <f t="shared" si="13"/>
        <v>elekter</v>
      </c>
      <c r="C36" s="76" t="s">
        <v>3</v>
      </c>
      <c r="D36" s="92"/>
      <c r="E36" s="92">
        <f t="shared" ref="E36:E42" si="15">E10</f>
        <v>25000</v>
      </c>
      <c r="F36" s="92"/>
      <c r="G36" s="92"/>
      <c r="H36" s="92"/>
      <c r="I36" s="92"/>
      <c r="J36" s="93">
        <f t="shared" si="14"/>
        <v>25000</v>
      </c>
    </row>
    <row r="37" spans="1:16" ht="20.25" customHeight="1" x14ac:dyDescent="0.35">
      <c r="A37" s="659"/>
      <c r="B37" s="135" t="str">
        <f t="shared" si="13"/>
        <v>tänavavalgustus</v>
      </c>
      <c r="C37" s="76" t="s">
        <v>3</v>
      </c>
      <c r="D37" s="92"/>
      <c r="E37" s="92">
        <f t="shared" si="15"/>
        <v>63930.479999999996</v>
      </c>
      <c r="F37" s="92"/>
      <c r="G37" s="92"/>
      <c r="H37" s="92"/>
      <c r="I37" s="92"/>
      <c r="J37" s="93">
        <f t="shared" si="14"/>
        <v>63930.479999999996</v>
      </c>
    </row>
    <row r="38" spans="1:16" ht="20.25" customHeight="1" x14ac:dyDescent="0.35">
      <c r="A38" s="659"/>
      <c r="B38" s="135" t="str">
        <f t="shared" si="13"/>
        <v>vesi</v>
      </c>
      <c r="C38" s="76" t="s">
        <v>3</v>
      </c>
      <c r="D38" s="92"/>
      <c r="E38" s="92">
        <f t="shared" si="15"/>
        <v>94179.8</v>
      </c>
      <c r="F38" s="92"/>
      <c r="G38" s="92"/>
      <c r="H38" s="92"/>
      <c r="I38" s="92"/>
      <c r="J38" s="93">
        <f t="shared" si="14"/>
        <v>94179.8</v>
      </c>
    </row>
    <row r="39" spans="1:16" ht="20.25" customHeight="1" x14ac:dyDescent="0.35">
      <c r="A39" s="659"/>
      <c r="B39" s="135" t="str">
        <f t="shared" si="13"/>
        <v>kanalisatsioon</v>
      </c>
      <c r="C39" s="76" t="s">
        <v>3</v>
      </c>
      <c r="D39" s="92"/>
      <c r="E39" s="92">
        <f t="shared" si="15"/>
        <v>129167.5</v>
      </c>
      <c r="F39" s="92"/>
      <c r="G39" s="92"/>
      <c r="H39" s="92"/>
      <c r="I39" s="92"/>
      <c r="J39" s="93">
        <f t="shared" si="14"/>
        <v>129167.5</v>
      </c>
    </row>
    <row r="40" spans="1:16" ht="20.25" customHeight="1" x14ac:dyDescent="0.35">
      <c r="A40" s="659"/>
      <c r="B40" s="135" t="str">
        <f t="shared" si="13"/>
        <v>side</v>
      </c>
      <c r="C40" s="76" t="s">
        <v>3</v>
      </c>
      <c r="D40" s="92"/>
      <c r="E40" s="92">
        <f t="shared" si="15"/>
        <v>18331.5</v>
      </c>
      <c r="F40" s="92"/>
      <c r="G40" s="92"/>
      <c r="H40" s="92"/>
      <c r="I40" s="92"/>
      <c r="J40" s="93">
        <f t="shared" si="14"/>
        <v>18331.5</v>
      </c>
    </row>
    <row r="41" spans="1:16" ht="20.25" customHeight="1" x14ac:dyDescent="0.35">
      <c r="A41" s="659"/>
      <c r="B41" s="135" t="str">
        <f t="shared" si="13"/>
        <v>Kraavid</v>
      </c>
      <c r="C41" s="76" t="s">
        <v>3</v>
      </c>
      <c r="D41" s="92"/>
      <c r="E41" s="92">
        <f t="shared" si="15"/>
        <v>141263</v>
      </c>
      <c r="F41" s="92"/>
      <c r="G41" s="92"/>
      <c r="H41" s="92"/>
      <c r="I41" s="92"/>
      <c r="J41" s="93">
        <f t="shared" si="14"/>
        <v>141263</v>
      </c>
    </row>
    <row r="42" spans="1:16" ht="20.25" customHeight="1" x14ac:dyDescent="0.35">
      <c r="A42" s="659"/>
      <c r="B42" s="135" t="str">
        <f t="shared" si="13"/>
        <v>Reserv 10%</v>
      </c>
      <c r="C42" s="76" t="s">
        <v>3</v>
      </c>
      <c r="D42" s="92"/>
      <c r="E42" s="92">
        <f t="shared" si="15"/>
        <v>111138</v>
      </c>
      <c r="F42" s="92"/>
      <c r="G42" s="92"/>
      <c r="H42" s="92"/>
      <c r="I42" s="92"/>
      <c r="J42" s="93">
        <f t="shared" si="14"/>
        <v>111138</v>
      </c>
    </row>
    <row r="43" spans="1:16" ht="16.5" customHeight="1" x14ac:dyDescent="0.35">
      <c r="A43" s="657" t="str">
        <f>A17</f>
        <v>3. Inkubaatori või tootearenduskeskuse arendamise kulud kokku</v>
      </c>
      <c r="B43" s="657"/>
      <c r="C43" s="77" t="s">
        <v>3</v>
      </c>
      <c r="D43" s="93">
        <f t="shared" ref="D43:I43" si="16">SUBTOTAL(9,D34:D42)</f>
        <v>0</v>
      </c>
      <c r="E43" s="93">
        <f>SUBTOTAL(9,E34:E42)</f>
        <v>1222522.28</v>
      </c>
      <c r="F43" s="93">
        <f t="shared" si="16"/>
        <v>0</v>
      </c>
      <c r="G43" s="93">
        <f t="shared" si="16"/>
        <v>0</v>
      </c>
      <c r="H43" s="93">
        <f t="shared" si="16"/>
        <v>0</v>
      </c>
      <c r="I43" s="93">
        <f t="shared" si="16"/>
        <v>0</v>
      </c>
      <c r="J43" s="93">
        <f>SUM(D43:I43)</f>
        <v>1222522.28</v>
      </c>
      <c r="O43" s="505"/>
      <c r="P43" s="505"/>
    </row>
    <row r="44" spans="1:16" ht="3.75" customHeight="1" x14ac:dyDescent="0.35">
      <c r="A44" s="73"/>
      <c r="B44" s="90"/>
      <c r="C44" s="74"/>
      <c r="D44" s="94"/>
      <c r="E44" s="94"/>
      <c r="F44" s="94"/>
      <c r="G44" s="94"/>
      <c r="H44" s="94"/>
      <c r="I44" s="94"/>
      <c r="J44" s="95"/>
      <c r="O44" s="505"/>
      <c r="P44" s="505"/>
    </row>
    <row r="45" spans="1:16" ht="21" hidden="1" customHeight="1" x14ac:dyDescent="0.35">
      <c r="A45" s="662">
        <f>A19</f>
        <v>0</v>
      </c>
      <c r="B45" s="663"/>
      <c r="C45" s="76" t="s">
        <v>3</v>
      </c>
      <c r="D45" s="92"/>
      <c r="E45" s="92"/>
      <c r="F45" s="92"/>
      <c r="G45" s="92"/>
      <c r="H45" s="92"/>
      <c r="I45" s="92"/>
      <c r="J45" s="93">
        <f>SUM(D45:I45)</f>
        <v>0</v>
      </c>
      <c r="O45" s="505"/>
      <c r="P45" s="505"/>
    </row>
    <row r="46" spans="1:16" ht="3.75" hidden="1" customHeight="1" x14ac:dyDescent="0.35">
      <c r="A46" s="73"/>
      <c r="B46" s="90"/>
      <c r="C46" s="74"/>
      <c r="D46" s="94"/>
      <c r="E46" s="94"/>
      <c r="F46" s="94"/>
      <c r="G46" s="94"/>
      <c r="H46" s="94"/>
      <c r="I46" s="94"/>
      <c r="J46" s="96"/>
      <c r="O46" s="505"/>
      <c r="P46" s="505"/>
    </row>
    <row r="47" spans="1:16" ht="34.5" customHeight="1" x14ac:dyDescent="0.35">
      <c r="A47" s="662" t="str">
        <f>A21</f>
        <v>4. Struktuuritoetuse andmisest avalikkuse teavitamine</v>
      </c>
      <c r="B47" s="663"/>
      <c r="C47" s="76" t="s">
        <v>3</v>
      </c>
      <c r="D47" s="92"/>
      <c r="E47" s="92"/>
      <c r="F47" s="92">
        <f>F21</f>
        <v>0</v>
      </c>
      <c r="G47" s="92"/>
      <c r="H47" s="92"/>
      <c r="I47" s="92"/>
      <c r="J47" s="93">
        <f>SUM(D47:I47)</f>
        <v>0</v>
      </c>
      <c r="O47" s="505"/>
      <c r="P47" s="505"/>
    </row>
    <row r="48" spans="1:16" ht="3.75" customHeight="1" x14ac:dyDescent="0.35">
      <c r="A48" s="73"/>
      <c r="B48" s="90"/>
      <c r="C48" s="74"/>
      <c r="D48" s="94"/>
      <c r="E48" s="94"/>
      <c r="F48" s="94"/>
      <c r="G48" s="94"/>
      <c r="H48" s="94"/>
      <c r="I48" s="94"/>
      <c r="J48" s="96"/>
    </row>
    <row r="49" spans="1:13" ht="19.5" customHeight="1" x14ac:dyDescent="0.35">
      <c r="A49" s="670" t="s">
        <v>65</v>
      </c>
      <c r="B49" s="671"/>
      <c r="C49" s="79" t="s">
        <v>3</v>
      </c>
      <c r="D49" s="97">
        <f t="shared" ref="D49:I49" si="17">SUBTOTAL(9,D30:D47)</f>
        <v>50000</v>
      </c>
      <c r="E49" s="97">
        <f t="shared" si="17"/>
        <v>1222522.28</v>
      </c>
      <c r="F49" s="97">
        <f t="shared" si="17"/>
        <v>0</v>
      </c>
      <c r="G49" s="97">
        <f t="shared" si="17"/>
        <v>0</v>
      </c>
      <c r="H49" s="97">
        <f t="shared" si="17"/>
        <v>0</v>
      </c>
      <c r="I49" s="97">
        <f t="shared" si="17"/>
        <v>0</v>
      </c>
      <c r="J49" s="97">
        <f>SUM(D49:I49)</f>
        <v>1272522.28</v>
      </c>
      <c r="K49" s="136">
        <f>IF(J23&gt;0,J49/J23,"")</f>
        <v>1</v>
      </c>
    </row>
    <row r="50" spans="1:13" ht="3.75" customHeight="1" x14ac:dyDescent="0.35">
      <c r="A50" s="73"/>
      <c r="B50" s="90"/>
      <c r="C50" s="74"/>
      <c r="D50" s="18"/>
      <c r="E50" s="18"/>
      <c r="F50" s="18"/>
      <c r="G50" s="18"/>
      <c r="H50" s="18"/>
      <c r="I50" s="18"/>
      <c r="J50" s="78"/>
    </row>
    <row r="51" spans="1:13" x14ac:dyDescent="0.35">
      <c r="A51" s="23"/>
      <c r="K51" s="100"/>
    </row>
    <row r="52" spans="1:13" ht="19.5" customHeight="1" x14ac:dyDescent="0.35">
      <c r="A52" s="669" t="s">
        <v>71</v>
      </c>
      <c r="B52" s="669"/>
      <c r="C52" s="76" t="s">
        <v>3</v>
      </c>
      <c r="D52" s="118">
        <f t="shared" ref="D52:I52" si="18">D23-D49</f>
        <v>0</v>
      </c>
      <c r="E52" s="118">
        <f t="shared" si="18"/>
        <v>0</v>
      </c>
      <c r="F52" s="118">
        <f t="shared" si="18"/>
        <v>0</v>
      </c>
      <c r="G52" s="118">
        <f t="shared" si="18"/>
        <v>0</v>
      </c>
      <c r="H52" s="118">
        <f t="shared" si="18"/>
        <v>0</v>
      </c>
      <c r="I52" s="118">
        <f t="shared" si="18"/>
        <v>0</v>
      </c>
      <c r="J52" s="119">
        <f>SUM(D52:I52)</f>
        <v>0</v>
      </c>
      <c r="K52" s="137">
        <f>IF(J23&gt;0,J52/J23,"")</f>
        <v>0</v>
      </c>
    </row>
    <row r="56" spans="1:13" hidden="1" x14ac:dyDescent="0.35">
      <c r="M56" s="103" t="s">
        <v>104</v>
      </c>
    </row>
    <row r="57" spans="1:13" hidden="1" x14ac:dyDescent="0.35">
      <c r="M57" s="103" t="s">
        <v>105</v>
      </c>
    </row>
    <row r="58" spans="1:13" hidden="1" x14ac:dyDescent="0.35">
      <c r="M58" s="103" t="s">
        <v>4</v>
      </c>
    </row>
    <row r="59" spans="1:13" hidden="1" x14ac:dyDescent="0.35">
      <c r="M59" s="103" t="s">
        <v>106</v>
      </c>
    </row>
    <row r="60" spans="1:13" hidden="1" x14ac:dyDescent="0.35">
      <c r="M60" s="103" t="s">
        <v>5</v>
      </c>
    </row>
    <row r="61" spans="1:13" hidden="1" x14ac:dyDescent="0.35">
      <c r="M61" s="103" t="s">
        <v>6</v>
      </c>
    </row>
    <row r="62" spans="1:13" hidden="1" x14ac:dyDescent="0.35">
      <c r="M62" s="103" t="s">
        <v>7</v>
      </c>
    </row>
    <row r="63" spans="1:13" hidden="1" x14ac:dyDescent="0.35">
      <c r="M63" s="103" t="s">
        <v>107</v>
      </c>
    </row>
    <row r="64" spans="1:13" hidden="1" x14ac:dyDescent="0.35">
      <c r="M64" s="103" t="s">
        <v>108</v>
      </c>
    </row>
    <row r="65" spans="13:13" hidden="1" x14ac:dyDescent="0.35">
      <c r="M65" s="103" t="s">
        <v>109</v>
      </c>
    </row>
    <row r="66" spans="13:13" hidden="1" x14ac:dyDescent="0.35">
      <c r="M66" s="103" t="s">
        <v>110</v>
      </c>
    </row>
    <row r="67" spans="13:13" hidden="1" x14ac:dyDescent="0.35">
      <c r="M67" s="103" t="s">
        <v>111</v>
      </c>
    </row>
  </sheetData>
  <mergeCells count="18">
    <mergeCell ref="L23:N23"/>
    <mergeCell ref="A19:B19"/>
    <mergeCell ref="A52:B52"/>
    <mergeCell ref="A23:B23"/>
    <mergeCell ref="A30:B30"/>
    <mergeCell ref="A45:B45"/>
    <mergeCell ref="A47:B47"/>
    <mergeCell ref="A49:B49"/>
    <mergeCell ref="A21:B21"/>
    <mergeCell ref="A32:B32"/>
    <mergeCell ref="A34:A42"/>
    <mergeCell ref="A43:B43"/>
    <mergeCell ref="L25:N25"/>
    <mergeCell ref="A17:B17"/>
    <mergeCell ref="D1:I1"/>
    <mergeCell ref="A8:A16"/>
    <mergeCell ref="A4:B4"/>
    <mergeCell ref="A6:B6"/>
  </mergeCells>
  <dataValidations count="3">
    <dataValidation type="whole" operator="greaterThanOrEqual" allowBlank="1" showInputMessage="1" showErrorMessage="1" error="Aastate arv peab olema vähemalt 1" promptTitle="Vara kasulik eluiga" prompt="Aastate arv peab olema vähemalt 1" sqref="L19 L21 L4:L6 L8:L16" xr:uid="{00000000-0002-0000-0200-000000000000}">
      <formula1>1</formula1>
    </dataValidation>
    <dataValidation type="whole" allowBlank="1" showInputMessage="1" showErrorMessage="1" error="Aastanumber on väljaspool projektiperioodi" sqref="N24 N4:N22" xr:uid="{00000000-0002-0000-0200-000001000000}">
      <formula1>$D$2</formula1>
      <formula2>$I$2</formula2>
    </dataValidation>
    <dataValidation type="list" allowBlank="1" showInputMessage="1" showErrorMessage="1" prompt="Vali kuu rippmenüüst" sqref="M24 M4:M22" xr:uid="{00000000-0002-0000-0200-000002000000}">
      <formula1>$M$56:$M$67</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V588"/>
  <sheetViews>
    <sheetView tabSelected="1" zoomScale="70" zoomScaleNormal="70" workbookViewId="0">
      <pane xSplit="3" ySplit="3" topLeftCell="D7" activePane="bottomRight" state="frozen"/>
      <selection pane="topRight" activeCell="D1" sqref="D1"/>
      <selection pane="bottomLeft" activeCell="A4" sqref="A4"/>
      <selection pane="bottomRight" activeCell="Q56" sqref="Q56"/>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140</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 si="2">Q3+1</f>
        <v>2038</v>
      </c>
      <c r="S3" s="294"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32</v>
      </c>
      <c r="B5" s="165"/>
      <c r="C5" s="166" t="s">
        <v>2</v>
      </c>
      <c r="D5" s="168"/>
      <c r="E5" s="168"/>
      <c r="F5" s="512"/>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679" t="s">
        <v>361</v>
      </c>
      <c r="B7" s="171" t="s">
        <v>362</v>
      </c>
      <c r="C7" s="172" t="s">
        <v>265</v>
      </c>
      <c r="D7" s="173"/>
      <c r="E7" s="173"/>
      <c r="F7" s="517"/>
      <c r="G7" s="173">
        <f>Eeldused_müük!G9</f>
        <v>7783</v>
      </c>
      <c r="H7" s="173">
        <f>Eeldused_müük!H9</f>
        <v>5481</v>
      </c>
      <c r="I7" s="173">
        <f>Eeldused_müük!I9</f>
        <v>3676</v>
      </c>
      <c r="J7" s="173">
        <f>Eeldused_müük!J9</f>
        <v>3625</v>
      </c>
      <c r="K7" s="173">
        <f>Eeldused_müük!K9</f>
        <v>3644</v>
      </c>
      <c r="L7" s="173">
        <f>Eeldused_müük!L9</f>
        <v>5758</v>
      </c>
      <c r="M7" s="173">
        <f>Eeldused_müük!M9</f>
        <v>5528</v>
      </c>
      <c r="N7" s="173">
        <f>Eeldused_müük!N9</f>
        <v>6743</v>
      </c>
      <c r="O7" s="173">
        <f>Eeldused_müük!O9</f>
        <v>3557</v>
      </c>
      <c r="P7" s="173"/>
      <c r="Q7" s="173"/>
      <c r="R7" s="173"/>
      <c r="S7" s="163"/>
      <c r="T7" s="163"/>
    </row>
    <row r="8" spans="1:20" ht="15.75" customHeight="1" x14ac:dyDescent="0.35">
      <c r="A8" s="680"/>
      <c r="B8" s="171" t="s">
        <v>0</v>
      </c>
      <c r="C8" s="172" t="s">
        <v>3</v>
      </c>
      <c r="D8" s="173"/>
      <c r="E8" s="173"/>
      <c r="F8" s="173"/>
      <c r="G8" s="173">
        <v>20</v>
      </c>
      <c r="H8" s="517">
        <f>G8</f>
        <v>20</v>
      </c>
      <c r="I8" s="517">
        <f>H8</f>
        <v>20</v>
      </c>
      <c r="J8" s="517">
        <f t="shared" ref="J8:O8" si="3">I8</f>
        <v>20</v>
      </c>
      <c r="K8" s="517">
        <f t="shared" si="3"/>
        <v>20</v>
      </c>
      <c r="L8" s="517">
        <f t="shared" si="3"/>
        <v>20</v>
      </c>
      <c r="M8" s="517">
        <f t="shared" si="3"/>
        <v>20</v>
      </c>
      <c r="N8" s="517">
        <f t="shared" si="3"/>
        <v>20</v>
      </c>
      <c r="O8" s="517">
        <f t="shared" si="3"/>
        <v>20</v>
      </c>
      <c r="P8" s="517"/>
      <c r="Q8" s="517"/>
      <c r="R8" s="173"/>
      <c r="S8" s="163"/>
      <c r="T8" s="163"/>
    </row>
    <row r="9" spans="1:20" ht="15.75" customHeight="1" x14ac:dyDescent="0.35">
      <c r="A9" s="681"/>
      <c r="B9" s="175" t="s">
        <v>1</v>
      </c>
      <c r="C9" s="176" t="s">
        <v>3</v>
      </c>
      <c r="D9" s="174">
        <f t="shared" ref="D9:L9" si="4">D7*D8</f>
        <v>0</v>
      </c>
      <c r="E9" s="174">
        <f t="shared" si="4"/>
        <v>0</v>
      </c>
      <c r="F9" s="174">
        <f t="shared" si="4"/>
        <v>0</v>
      </c>
      <c r="G9" s="174">
        <f t="shared" si="4"/>
        <v>155660</v>
      </c>
      <c r="H9" s="174">
        <f t="shared" si="4"/>
        <v>109620</v>
      </c>
      <c r="I9" s="174">
        <f t="shared" si="4"/>
        <v>73520</v>
      </c>
      <c r="J9" s="174">
        <f t="shared" si="4"/>
        <v>72500</v>
      </c>
      <c r="K9" s="174">
        <f t="shared" si="4"/>
        <v>72880</v>
      </c>
      <c r="L9" s="174">
        <f t="shared" si="4"/>
        <v>115160</v>
      </c>
      <c r="M9" s="174">
        <f t="shared" ref="M9" si="5">M7*M8</f>
        <v>110560</v>
      </c>
      <c r="N9" s="174">
        <f t="shared" ref="N9" si="6">N7*N8</f>
        <v>134860</v>
      </c>
      <c r="O9" s="174">
        <f t="shared" ref="O9" si="7">O7*O8</f>
        <v>71140</v>
      </c>
      <c r="P9" s="174">
        <f t="shared" ref="P9" si="8">P7*P8</f>
        <v>0</v>
      </c>
      <c r="Q9" s="174">
        <f t="shared" ref="Q9" si="9">Q7*Q8</f>
        <v>0</v>
      </c>
      <c r="R9" s="174">
        <f t="shared" ref="R9" si="10">R7*R8</f>
        <v>0</v>
      </c>
      <c r="S9" s="163"/>
      <c r="T9" s="163"/>
    </row>
    <row r="10" spans="1:20" ht="4.5" customHeight="1" x14ac:dyDescent="0.35">
      <c r="A10" s="177"/>
      <c r="B10" s="178"/>
      <c r="C10" s="179"/>
      <c r="D10" s="179"/>
      <c r="E10" s="179"/>
      <c r="F10" s="179"/>
      <c r="G10" s="179"/>
      <c r="H10" s="179"/>
      <c r="I10" s="179"/>
      <c r="J10" s="179"/>
      <c r="K10" s="179"/>
      <c r="L10" s="179"/>
      <c r="M10" s="179"/>
      <c r="N10" s="179"/>
      <c r="O10" s="179"/>
      <c r="P10" s="179"/>
      <c r="Q10" s="179"/>
      <c r="R10" s="180"/>
      <c r="S10" s="163"/>
      <c r="T10" s="163"/>
    </row>
    <row r="11" spans="1:20" ht="15.5" hidden="1" x14ac:dyDescent="0.35">
      <c r="A11" s="678"/>
      <c r="B11" s="171" t="s">
        <v>287</v>
      </c>
      <c r="C11" s="172" t="s">
        <v>347</v>
      </c>
      <c r="D11" s="173"/>
      <c r="E11" s="173"/>
      <c r="F11" s="517"/>
      <c r="G11" s="173"/>
      <c r="H11" s="173"/>
      <c r="I11" s="173"/>
      <c r="J11" s="173"/>
      <c r="K11" s="173"/>
      <c r="L11" s="173"/>
      <c r="M11" s="173"/>
      <c r="N11" s="173"/>
      <c r="O11" s="173"/>
      <c r="P11" s="173"/>
      <c r="Q11" s="173"/>
      <c r="R11" s="173"/>
      <c r="S11" s="163"/>
      <c r="T11" s="163"/>
    </row>
    <row r="12" spans="1:20" hidden="1" x14ac:dyDescent="0.35">
      <c r="A12" s="678"/>
      <c r="B12" s="171" t="s">
        <v>0</v>
      </c>
      <c r="C12" s="172" t="s">
        <v>348</v>
      </c>
      <c r="D12" s="173"/>
      <c r="E12" s="173"/>
      <c r="F12" s="173"/>
      <c r="G12" s="173"/>
      <c r="H12" s="173"/>
      <c r="I12" s="173"/>
      <c r="J12" s="173"/>
      <c r="K12" s="173"/>
      <c r="L12" s="173"/>
      <c r="M12" s="173"/>
      <c r="N12" s="173"/>
      <c r="O12" s="173"/>
      <c r="P12" s="173"/>
      <c r="Q12" s="173"/>
      <c r="R12" s="173"/>
      <c r="S12" s="163"/>
      <c r="T12" s="163"/>
    </row>
    <row r="13" spans="1:20" hidden="1" x14ac:dyDescent="0.35">
      <c r="A13" s="678"/>
      <c r="B13" s="175" t="s">
        <v>1</v>
      </c>
      <c r="C13" s="176" t="s">
        <v>3</v>
      </c>
      <c r="D13" s="174">
        <f t="shared" ref="D13:L13" si="11">D11*D12</f>
        <v>0</v>
      </c>
      <c r="E13" s="174">
        <f t="shared" si="11"/>
        <v>0</v>
      </c>
      <c r="F13" s="174">
        <f t="shared" si="11"/>
        <v>0</v>
      </c>
      <c r="G13" s="174">
        <f t="shared" si="11"/>
        <v>0</v>
      </c>
      <c r="H13" s="174">
        <f t="shared" si="11"/>
        <v>0</v>
      </c>
      <c r="I13" s="174">
        <f t="shared" si="11"/>
        <v>0</v>
      </c>
      <c r="J13" s="174">
        <f t="shared" si="11"/>
        <v>0</v>
      </c>
      <c r="K13" s="174">
        <f t="shared" si="11"/>
        <v>0</v>
      </c>
      <c r="L13" s="174">
        <f t="shared" si="11"/>
        <v>0</v>
      </c>
      <c r="M13" s="174">
        <f t="shared" ref="M13" si="12">M11*M12</f>
        <v>0</v>
      </c>
      <c r="N13" s="174">
        <f t="shared" ref="N13" si="13">N11*N12</f>
        <v>0</v>
      </c>
      <c r="O13" s="174">
        <f t="shared" ref="O13" si="14">O11*O12</f>
        <v>0</v>
      </c>
      <c r="P13" s="174">
        <f t="shared" ref="P13" si="15">P11*P12</f>
        <v>0</v>
      </c>
      <c r="Q13" s="174">
        <f t="shared" ref="Q13" si="16">Q11*Q12</f>
        <v>0</v>
      </c>
      <c r="R13" s="174">
        <f t="shared" ref="R13" si="17">R11*R12</f>
        <v>0</v>
      </c>
      <c r="S13" s="163"/>
      <c r="T13" s="163"/>
    </row>
    <row r="14" spans="1:20" ht="4.5" hidden="1" customHeight="1" x14ac:dyDescent="0.35">
      <c r="A14" s="177"/>
      <c r="B14" s="178"/>
      <c r="C14" s="179"/>
      <c r="D14" s="179"/>
      <c r="E14" s="179"/>
      <c r="F14" s="179"/>
      <c r="G14" s="179"/>
      <c r="H14" s="179"/>
      <c r="I14" s="179"/>
      <c r="J14" s="179"/>
      <c r="K14" s="179"/>
      <c r="L14" s="179"/>
      <c r="M14" s="179"/>
      <c r="N14" s="179"/>
      <c r="O14" s="179"/>
      <c r="P14" s="179"/>
      <c r="Q14" s="179"/>
      <c r="R14" s="180"/>
      <c r="S14" s="163"/>
      <c r="T14" s="163"/>
    </row>
    <row r="15" spans="1:20" ht="15.5" hidden="1" x14ac:dyDescent="0.35">
      <c r="A15" s="678"/>
      <c r="B15" s="171" t="s">
        <v>50</v>
      </c>
      <c r="C15" s="172" t="s">
        <v>347</v>
      </c>
      <c r="D15" s="173"/>
      <c r="E15" s="173"/>
      <c r="F15" s="517"/>
      <c r="G15" s="173"/>
      <c r="H15" s="173"/>
      <c r="I15" s="173"/>
      <c r="J15" s="173"/>
      <c r="K15" s="173"/>
      <c r="L15" s="173"/>
      <c r="M15" s="173"/>
      <c r="N15" s="173"/>
      <c r="O15" s="173"/>
      <c r="P15" s="173"/>
      <c r="Q15" s="173"/>
      <c r="R15" s="173"/>
      <c r="S15" s="163"/>
      <c r="T15" s="163"/>
    </row>
    <row r="16" spans="1:20" hidden="1" x14ac:dyDescent="0.35">
      <c r="A16" s="678"/>
      <c r="B16" s="171" t="s">
        <v>0</v>
      </c>
      <c r="C16" s="172" t="s">
        <v>348</v>
      </c>
      <c r="D16" s="173"/>
      <c r="E16" s="173"/>
      <c r="F16" s="173"/>
      <c r="G16" s="173"/>
      <c r="H16" s="173"/>
      <c r="I16" s="173"/>
      <c r="J16" s="173"/>
      <c r="K16" s="173"/>
      <c r="L16" s="173"/>
      <c r="M16" s="173"/>
      <c r="N16" s="173"/>
      <c r="O16" s="173"/>
      <c r="P16" s="173"/>
      <c r="Q16" s="173"/>
      <c r="R16" s="173"/>
      <c r="S16" s="163"/>
      <c r="T16" s="163"/>
    </row>
    <row r="17" spans="1:20" hidden="1" x14ac:dyDescent="0.35">
      <c r="A17" s="678"/>
      <c r="B17" s="175" t="s">
        <v>1</v>
      </c>
      <c r="C17" s="176" t="s">
        <v>3</v>
      </c>
      <c r="D17" s="174">
        <f t="shared" ref="D17:L17" si="18">D15*D16</f>
        <v>0</v>
      </c>
      <c r="E17" s="174">
        <f t="shared" si="18"/>
        <v>0</v>
      </c>
      <c r="F17" s="174">
        <f t="shared" si="18"/>
        <v>0</v>
      </c>
      <c r="G17" s="174">
        <f t="shared" si="18"/>
        <v>0</v>
      </c>
      <c r="H17" s="174">
        <f t="shared" si="18"/>
        <v>0</v>
      </c>
      <c r="I17" s="174">
        <f t="shared" si="18"/>
        <v>0</v>
      </c>
      <c r="J17" s="174">
        <f t="shared" si="18"/>
        <v>0</v>
      </c>
      <c r="K17" s="174">
        <f t="shared" si="18"/>
        <v>0</v>
      </c>
      <c r="L17" s="174">
        <f t="shared" si="18"/>
        <v>0</v>
      </c>
      <c r="M17" s="174">
        <f t="shared" ref="M17" si="19">M15*M16</f>
        <v>0</v>
      </c>
      <c r="N17" s="174">
        <f t="shared" ref="N17" si="20">N15*N16</f>
        <v>0</v>
      </c>
      <c r="O17" s="174">
        <f t="shared" ref="O17" si="21">O15*O16</f>
        <v>0</v>
      </c>
      <c r="P17" s="174">
        <f t="shared" ref="P17" si="22">P15*P16</f>
        <v>0</v>
      </c>
      <c r="Q17" s="174">
        <f t="shared" ref="Q17" si="23">Q15*Q16</f>
        <v>0</v>
      </c>
      <c r="R17" s="174">
        <f t="shared" ref="R17" si="24">R15*R16</f>
        <v>0</v>
      </c>
      <c r="S17" s="163"/>
      <c r="T17" s="163"/>
    </row>
    <row r="18" spans="1:20" ht="4.5" hidden="1" customHeight="1" x14ac:dyDescent="0.35">
      <c r="A18" s="177"/>
      <c r="B18" s="178"/>
      <c r="C18" s="179"/>
      <c r="D18" s="179"/>
      <c r="E18" s="179"/>
      <c r="F18" s="179"/>
      <c r="G18" s="179"/>
      <c r="H18" s="179"/>
      <c r="I18" s="179"/>
      <c r="J18" s="179"/>
      <c r="K18" s="179"/>
      <c r="L18" s="179"/>
      <c r="M18" s="179"/>
      <c r="N18" s="179"/>
      <c r="O18" s="179"/>
      <c r="P18" s="179"/>
      <c r="Q18" s="179"/>
      <c r="R18" s="180"/>
      <c r="S18" s="163"/>
      <c r="T18" s="163"/>
    </row>
    <row r="19" spans="1:20" hidden="1" x14ac:dyDescent="0.35">
      <c r="A19" s="678"/>
      <c r="B19" s="171" t="s">
        <v>51</v>
      </c>
      <c r="C19" s="172" t="s">
        <v>349</v>
      </c>
      <c r="D19" s="173"/>
      <c r="E19" s="173"/>
      <c r="F19" s="173"/>
      <c r="G19" s="173"/>
      <c r="H19" s="173"/>
      <c r="I19" s="173"/>
      <c r="J19" s="173"/>
      <c r="K19" s="173"/>
      <c r="L19" s="173"/>
      <c r="M19" s="173"/>
      <c r="N19" s="173"/>
      <c r="O19" s="173"/>
      <c r="P19" s="173"/>
      <c r="Q19" s="173"/>
      <c r="R19" s="173"/>
      <c r="S19" s="163"/>
      <c r="T19" s="163"/>
    </row>
    <row r="20" spans="1:20" hidden="1" x14ac:dyDescent="0.35">
      <c r="A20" s="678"/>
      <c r="B20" s="171" t="s">
        <v>0</v>
      </c>
      <c r="C20" s="172" t="s">
        <v>350</v>
      </c>
      <c r="D20" s="173"/>
      <c r="E20" s="173"/>
      <c r="F20" s="173"/>
      <c r="G20" s="173"/>
      <c r="H20" s="173"/>
      <c r="I20" s="173"/>
      <c r="J20" s="173"/>
      <c r="K20" s="173"/>
      <c r="L20" s="173"/>
      <c r="M20" s="173"/>
      <c r="N20" s="173"/>
      <c r="O20" s="173"/>
      <c r="P20" s="173"/>
      <c r="Q20" s="173"/>
      <c r="R20" s="173"/>
      <c r="S20" s="163"/>
      <c r="T20" s="163"/>
    </row>
    <row r="21" spans="1:20" hidden="1" x14ac:dyDescent="0.35">
      <c r="A21" s="678"/>
      <c r="B21" s="175" t="s">
        <v>1</v>
      </c>
      <c r="C21" s="176" t="s">
        <v>3</v>
      </c>
      <c r="D21" s="174">
        <f t="shared" ref="D21:L21" si="25">D19*D20</f>
        <v>0</v>
      </c>
      <c r="E21" s="174">
        <f t="shared" si="25"/>
        <v>0</v>
      </c>
      <c r="F21" s="174">
        <f t="shared" si="25"/>
        <v>0</v>
      </c>
      <c r="G21" s="174">
        <f t="shared" si="25"/>
        <v>0</v>
      </c>
      <c r="H21" s="174">
        <f t="shared" si="25"/>
        <v>0</v>
      </c>
      <c r="I21" s="174">
        <f t="shared" si="25"/>
        <v>0</v>
      </c>
      <c r="J21" s="174">
        <f t="shared" si="25"/>
        <v>0</v>
      </c>
      <c r="K21" s="174">
        <f t="shared" si="25"/>
        <v>0</v>
      </c>
      <c r="L21" s="174">
        <f t="shared" si="25"/>
        <v>0</v>
      </c>
      <c r="M21" s="174">
        <f t="shared" ref="M21" si="26">M19*M20</f>
        <v>0</v>
      </c>
      <c r="N21" s="174">
        <f t="shared" ref="N21" si="27">N19*N20</f>
        <v>0</v>
      </c>
      <c r="O21" s="174">
        <f t="shared" ref="O21" si="28">O19*O20</f>
        <v>0</v>
      </c>
      <c r="P21" s="174">
        <f t="shared" ref="P21" si="29">P19*P20</f>
        <v>0</v>
      </c>
      <c r="Q21" s="174">
        <f t="shared" ref="Q21" si="30">Q19*Q20</f>
        <v>0</v>
      </c>
      <c r="R21" s="174">
        <f t="shared" ref="R21" si="31">R19*R20</f>
        <v>0</v>
      </c>
      <c r="S21" s="163"/>
      <c r="T21" s="163"/>
    </row>
    <row r="22" spans="1:20" ht="4.5" hidden="1" customHeight="1" x14ac:dyDescent="0.35">
      <c r="A22" s="177"/>
      <c r="B22" s="178"/>
      <c r="C22" s="179"/>
      <c r="D22" s="179"/>
      <c r="E22" s="179"/>
      <c r="F22" s="179"/>
      <c r="G22" s="179"/>
      <c r="H22" s="179"/>
      <c r="I22" s="179"/>
      <c r="J22" s="179"/>
      <c r="K22" s="179"/>
      <c r="L22" s="179"/>
      <c r="M22" s="179"/>
      <c r="N22" s="179"/>
      <c r="O22" s="179"/>
      <c r="P22" s="179"/>
      <c r="Q22" s="179"/>
      <c r="R22" s="180"/>
      <c r="S22" s="163"/>
      <c r="T22" s="163"/>
    </row>
    <row r="23" spans="1:20" ht="15.5" hidden="1" x14ac:dyDescent="0.35">
      <c r="A23" s="678"/>
      <c r="B23" s="171" t="s">
        <v>52</v>
      </c>
      <c r="C23" s="172" t="s">
        <v>347</v>
      </c>
      <c r="D23" s="173"/>
      <c r="E23" s="173"/>
      <c r="F23" s="517"/>
      <c r="G23" s="173"/>
      <c r="H23" s="173"/>
      <c r="I23" s="173"/>
      <c r="J23" s="173"/>
      <c r="K23" s="173"/>
      <c r="L23" s="173"/>
      <c r="M23" s="173"/>
      <c r="N23" s="173"/>
      <c r="O23" s="173"/>
      <c r="P23" s="173"/>
      <c r="Q23" s="173"/>
      <c r="R23" s="173"/>
      <c r="S23" s="163"/>
      <c r="T23" s="163"/>
    </row>
    <row r="24" spans="1:20" hidden="1" x14ac:dyDescent="0.35">
      <c r="A24" s="678"/>
      <c r="B24" s="171" t="s">
        <v>0</v>
      </c>
      <c r="C24" s="172" t="s">
        <v>348</v>
      </c>
      <c r="D24" s="173"/>
      <c r="E24" s="173"/>
      <c r="F24" s="173"/>
      <c r="G24" s="173"/>
      <c r="H24" s="173"/>
      <c r="I24" s="173"/>
      <c r="J24" s="173"/>
      <c r="K24" s="173"/>
      <c r="L24" s="173"/>
      <c r="M24" s="173"/>
      <c r="N24" s="173"/>
      <c r="O24" s="173"/>
      <c r="P24" s="173"/>
      <c r="Q24" s="173"/>
      <c r="R24" s="173"/>
      <c r="S24" s="163"/>
      <c r="T24" s="163"/>
    </row>
    <row r="25" spans="1:20" hidden="1" x14ac:dyDescent="0.35">
      <c r="A25" s="678"/>
      <c r="B25" s="175" t="s">
        <v>1</v>
      </c>
      <c r="C25" s="176" t="s">
        <v>3</v>
      </c>
      <c r="D25" s="174">
        <f t="shared" ref="D25:F25" si="32">D23*D24</f>
        <v>0</v>
      </c>
      <c r="E25" s="174">
        <f t="shared" si="32"/>
        <v>0</v>
      </c>
      <c r="F25" s="174">
        <f t="shared" si="32"/>
        <v>0</v>
      </c>
      <c r="G25" s="174">
        <f t="shared" ref="G25:R25" si="33">G23*G24</f>
        <v>0</v>
      </c>
      <c r="H25" s="174">
        <f t="shared" si="33"/>
        <v>0</v>
      </c>
      <c r="I25" s="174">
        <f t="shared" si="33"/>
        <v>0</v>
      </c>
      <c r="J25" s="174">
        <f t="shared" si="33"/>
        <v>0</v>
      </c>
      <c r="K25" s="174">
        <f t="shared" si="33"/>
        <v>0</v>
      </c>
      <c r="L25" s="174">
        <f t="shared" si="33"/>
        <v>0</v>
      </c>
      <c r="M25" s="174">
        <f t="shared" si="33"/>
        <v>0</v>
      </c>
      <c r="N25" s="174">
        <f t="shared" si="33"/>
        <v>0</v>
      </c>
      <c r="O25" s="174">
        <f t="shared" si="33"/>
        <v>0</v>
      </c>
      <c r="P25" s="174">
        <f t="shared" si="33"/>
        <v>0</v>
      </c>
      <c r="Q25" s="174">
        <f t="shared" si="33"/>
        <v>0</v>
      </c>
      <c r="R25" s="174">
        <f t="shared" si="33"/>
        <v>0</v>
      </c>
      <c r="S25" s="163"/>
      <c r="T25" s="163"/>
    </row>
    <row r="26" spans="1:20" ht="4.5" hidden="1" customHeight="1" x14ac:dyDescent="0.35">
      <c r="A26" s="177"/>
      <c r="B26" s="178"/>
      <c r="C26" s="179"/>
      <c r="D26" s="179"/>
      <c r="E26" s="179"/>
      <c r="F26" s="179"/>
      <c r="G26" s="179"/>
      <c r="H26" s="179"/>
      <c r="I26" s="179"/>
      <c r="J26" s="179"/>
      <c r="K26" s="179"/>
      <c r="L26" s="179"/>
      <c r="M26" s="179"/>
      <c r="N26" s="179"/>
      <c r="O26" s="179"/>
      <c r="P26" s="179"/>
      <c r="Q26" s="179"/>
      <c r="R26" s="180"/>
      <c r="S26" s="163"/>
      <c r="T26" s="163"/>
    </row>
    <row r="27" spans="1:20" ht="15.5" hidden="1" x14ac:dyDescent="0.35">
      <c r="A27" s="678"/>
      <c r="B27" s="171" t="s">
        <v>53</v>
      </c>
      <c r="C27" s="172" t="s">
        <v>347</v>
      </c>
      <c r="D27" s="173"/>
      <c r="E27" s="173"/>
      <c r="F27" s="517"/>
      <c r="G27" s="173"/>
      <c r="H27" s="173"/>
      <c r="I27" s="173"/>
      <c r="J27" s="173"/>
      <c r="K27" s="173"/>
      <c r="L27" s="173"/>
      <c r="M27" s="173"/>
      <c r="N27" s="173"/>
      <c r="O27" s="173"/>
      <c r="P27" s="173"/>
      <c r="Q27" s="173"/>
      <c r="R27" s="173"/>
      <c r="S27" s="163"/>
      <c r="T27" s="163"/>
    </row>
    <row r="28" spans="1:20" hidden="1" x14ac:dyDescent="0.35">
      <c r="A28" s="678"/>
      <c r="B28" s="171" t="s">
        <v>0</v>
      </c>
      <c r="C28" s="172" t="s">
        <v>348</v>
      </c>
      <c r="D28" s="173"/>
      <c r="E28" s="173"/>
      <c r="F28" s="173"/>
      <c r="G28" s="173"/>
      <c r="H28" s="173"/>
      <c r="I28" s="173"/>
      <c r="J28" s="173"/>
      <c r="K28" s="173"/>
      <c r="L28" s="173"/>
      <c r="M28" s="173"/>
      <c r="N28" s="173"/>
      <c r="O28" s="173"/>
      <c r="P28" s="173"/>
      <c r="Q28" s="173"/>
      <c r="R28" s="173"/>
      <c r="S28" s="163"/>
      <c r="T28" s="163"/>
    </row>
    <row r="29" spans="1:20" hidden="1" x14ac:dyDescent="0.35">
      <c r="A29" s="678"/>
      <c r="B29" s="175" t="s">
        <v>1</v>
      </c>
      <c r="C29" s="176" t="s">
        <v>3</v>
      </c>
      <c r="D29" s="174">
        <f t="shared" ref="D29:L29" si="34">D27*D28</f>
        <v>0</v>
      </c>
      <c r="E29" s="174">
        <f t="shared" si="34"/>
        <v>0</v>
      </c>
      <c r="F29" s="174">
        <f t="shared" si="34"/>
        <v>0</v>
      </c>
      <c r="G29" s="174">
        <f t="shared" si="34"/>
        <v>0</v>
      </c>
      <c r="H29" s="174">
        <f t="shared" si="34"/>
        <v>0</v>
      </c>
      <c r="I29" s="174">
        <f t="shared" si="34"/>
        <v>0</v>
      </c>
      <c r="J29" s="174">
        <f t="shared" si="34"/>
        <v>0</v>
      </c>
      <c r="K29" s="174">
        <f t="shared" si="34"/>
        <v>0</v>
      </c>
      <c r="L29" s="174">
        <f t="shared" si="34"/>
        <v>0</v>
      </c>
      <c r="M29" s="174">
        <f t="shared" ref="M29" si="35">M27*M28</f>
        <v>0</v>
      </c>
      <c r="N29" s="174">
        <f t="shared" ref="N29" si="36">N27*N28</f>
        <v>0</v>
      </c>
      <c r="O29" s="174">
        <f t="shared" ref="O29" si="37">O27*O28</f>
        <v>0</v>
      </c>
      <c r="P29" s="174">
        <f t="shared" ref="P29" si="38">P27*P28</f>
        <v>0</v>
      </c>
      <c r="Q29" s="174">
        <f t="shared" ref="Q29" si="39">Q27*Q28</f>
        <v>0</v>
      </c>
      <c r="R29" s="174">
        <f t="shared" ref="R29" si="40">R27*R28</f>
        <v>0</v>
      </c>
      <c r="S29" s="163"/>
      <c r="T29" s="163"/>
    </row>
    <row r="30" spans="1:20" ht="4.5" hidden="1" customHeight="1" x14ac:dyDescent="0.35">
      <c r="A30" s="177"/>
      <c r="B30" s="178"/>
      <c r="C30" s="179"/>
      <c r="D30" s="179"/>
      <c r="E30" s="179"/>
      <c r="F30" s="179"/>
      <c r="G30" s="179"/>
      <c r="H30" s="179"/>
      <c r="I30" s="179"/>
      <c r="J30" s="179"/>
      <c r="K30" s="179"/>
      <c r="L30" s="179"/>
      <c r="M30" s="179"/>
      <c r="N30" s="179"/>
      <c r="O30" s="179"/>
      <c r="P30" s="179"/>
      <c r="Q30" s="179"/>
      <c r="R30" s="180"/>
      <c r="S30" s="163"/>
      <c r="T30" s="163"/>
    </row>
    <row r="31" spans="1:20" ht="15.5" hidden="1" x14ac:dyDescent="0.35">
      <c r="A31" s="678"/>
      <c r="B31" s="171" t="s">
        <v>54</v>
      </c>
      <c r="C31" s="172" t="s">
        <v>347</v>
      </c>
      <c r="D31" s="173"/>
      <c r="E31" s="173"/>
      <c r="F31" s="517"/>
      <c r="G31" s="173"/>
      <c r="H31" s="173"/>
      <c r="I31" s="173"/>
      <c r="J31" s="173"/>
      <c r="K31" s="173"/>
      <c r="L31" s="173"/>
      <c r="M31" s="173"/>
      <c r="N31" s="173"/>
      <c r="O31" s="173"/>
      <c r="P31" s="173"/>
      <c r="Q31" s="173"/>
      <c r="R31" s="173"/>
      <c r="S31" s="163"/>
      <c r="T31" s="163"/>
    </row>
    <row r="32" spans="1:20" hidden="1" x14ac:dyDescent="0.35">
      <c r="A32" s="678"/>
      <c r="B32" s="171" t="s">
        <v>0</v>
      </c>
      <c r="C32" s="172" t="s">
        <v>348</v>
      </c>
      <c r="D32" s="173"/>
      <c r="E32" s="173"/>
      <c r="F32" s="173"/>
      <c r="G32" s="173"/>
      <c r="H32" s="173"/>
      <c r="I32" s="173"/>
      <c r="J32" s="173"/>
      <c r="K32" s="173"/>
      <c r="L32" s="173"/>
      <c r="M32" s="173"/>
      <c r="N32" s="173"/>
      <c r="O32" s="173"/>
      <c r="P32" s="173"/>
      <c r="Q32" s="173"/>
      <c r="R32" s="173"/>
      <c r="S32" s="163"/>
      <c r="T32" s="163"/>
    </row>
    <row r="33" spans="1:20" hidden="1" x14ac:dyDescent="0.35">
      <c r="A33" s="678"/>
      <c r="B33" s="175" t="s">
        <v>1</v>
      </c>
      <c r="C33" s="176" t="s">
        <v>3</v>
      </c>
      <c r="D33" s="174">
        <f t="shared" ref="D33:L33" si="41">D31*D32</f>
        <v>0</v>
      </c>
      <c r="E33" s="174">
        <f t="shared" si="41"/>
        <v>0</v>
      </c>
      <c r="F33" s="174">
        <f t="shared" si="41"/>
        <v>0</v>
      </c>
      <c r="G33" s="174">
        <f t="shared" si="41"/>
        <v>0</v>
      </c>
      <c r="H33" s="174">
        <f t="shared" si="41"/>
        <v>0</v>
      </c>
      <c r="I33" s="174">
        <f t="shared" si="41"/>
        <v>0</v>
      </c>
      <c r="J33" s="174">
        <f t="shared" si="41"/>
        <v>0</v>
      </c>
      <c r="K33" s="174">
        <f t="shared" si="41"/>
        <v>0</v>
      </c>
      <c r="L33" s="174">
        <f t="shared" si="41"/>
        <v>0</v>
      </c>
      <c r="M33" s="174">
        <f t="shared" ref="M33" si="42">M31*M32</f>
        <v>0</v>
      </c>
      <c r="N33" s="174">
        <f t="shared" ref="N33" si="43">N31*N32</f>
        <v>0</v>
      </c>
      <c r="O33" s="174">
        <f t="shared" ref="O33" si="44">O31*O32</f>
        <v>0</v>
      </c>
      <c r="P33" s="174">
        <f t="shared" ref="P33" si="45">P31*P32</f>
        <v>0</v>
      </c>
      <c r="Q33" s="174">
        <f t="shared" ref="Q33" si="46">Q31*Q32</f>
        <v>0</v>
      </c>
      <c r="R33" s="174">
        <f t="shared" ref="R33" si="47">R31*R32</f>
        <v>0</v>
      </c>
      <c r="S33" s="163"/>
      <c r="T33" s="163"/>
    </row>
    <row r="34" spans="1:20" ht="4.5" hidden="1" customHeight="1" x14ac:dyDescent="0.35">
      <c r="A34" s="177"/>
      <c r="B34" s="178"/>
      <c r="C34" s="179"/>
      <c r="D34" s="179"/>
      <c r="E34" s="179"/>
      <c r="F34" s="179"/>
      <c r="G34" s="179"/>
      <c r="H34" s="179"/>
      <c r="I34" s="179"/>
      <c r="J34" s="179"/>
      <c r="K34" s="179"/>
      <c r="L34" s="179"/>
      <c r="M34" s="179"/>
      <c r="N34" s="179"/>
      <c r="O34" s="179"/>
      <c r="P34" s="179"/>
      <c r="Q34" s="179"/>
      <c r="R34" s="180"/>
      <c r="S34" s="163"/>
      <c r="T34" s="163"/>
    </row>
    <row r="35" spans="1:20" ht="15.5" hidden="1" x14ac:dyDescent="0.35">
      <c r="A35" s="678"/>
      <c r="B35" s="171" t="s">
        <v>55</v>
      </c>
      <c r="C35" s="172" t="s">
        <v>347</v>
      </c>
      <c r="D35" s="173"/>
      <c r="E35" s="173"/>
      <c r="F35" s="517"/>
      <c r="G35" s="173"/>
      <c r="H35" s="173"/>
      <c r="I35" s="173"/>
      <c r="J35" s="173"/>
      <c r="K35" s="173"/>
      <c r="L35" s="173"/>
      <c r="M35" s="173"/>
      <c r="N35" s="173"/>
      <c r="O35" s="173"/>
      <c r="P35" s="173"/>
      <c r="Q35" s="173"/>
      <c r="R35" s="173"/>
      <c r="S35" s="163"/>
      <c r="T35" s="163"/>
    </row>
    <row r="36" spans="1:20" hidden="1" x14ac:dyDescent="0.35">
      <c r="A36" s="678"/>
      <c r="B36" s="171" t="s">
        <v>0</v>
      </c>
      <c r="C36" s="172" t="s">
        <v>348</v>
      </c>
      <c r="D36" s="173"/>
      <c r="E36" s="173"/>
      <c r="F36" s="173"/>
      <c r="G36" s="173"/>
      <c r="H36" s="173"/>
      <c r="I36" s="173"/>
      <c r="J36" s="173"/>
      <c r="K36" s="173"/>
      <c r="L36" s="173"/>
      <c r="M36" s="173"/>
      <c r="N36" s="173"/>
      <c r="O36" s="173"/>
      <c r="P36" s="173"/>
      <c r="Q36" s="173"/>
      <c r="R36" s="173"/>
      <c r="S36" s="163"/>
      <c r="T36" s="163"/>
    </row>
    <row r="37" spans="1:20" hidden="1" x14ac:dyDescent="0.35">
      <c r="A37" s="678"/>
      <c r="B37" s="175" t="s">
        <v>1</v>
      </c>
      <c r="C37" s="176" t="s">
        <v>3</v>
      </c>
      <c r="D37" s="174">
        <f t="shared" ref="D37:L37" si="48">D35*D36</f>
        <v>0</v>
      </c>
      <c r="E37" s="174">
        <f t="shared" si="48"/>
        <v>0</v>
      </c>
      <c r="F37" s="174">
        <f t="shared" si="48"/>
        <v>0</v>
      </c>
      <c r="G37" s="174">
        <f t="shared" si="48"/>
        <v>0</v>
      </c>
      <c r="H37" s="174">
        <f t="shared" si="48"/>
        <v>0</v>
      </c>
      <c r="I37" s="174">
        <f t="shared" si="48"/>
        <v>0</v>
      </c>
      <c r="J37" s="174">
        <f t="shared" si="48"/>
        <v>0</v>
      </c>
      <c r="K37" s="174">
        <f t="shared" si="48"/>
        <v>0</v>
      </c>
      <c r="L37" s="174">
        <f t="shared" si="48"/>
        <v>0</v>
      </c>
      <c r="M37" s="174">
        <f t="shared" ref="M37" si="49">M35*M36</f>
        <v>0</v>
      </c>
      <c r="N37" s="174">
        <f t="shared" ref="N37" si="50">N35*N36</f>
        <v>0</v>
      </c>
      <c r="O37" s="174">
        <f t="shared" ref="O37" si="51">O35*O36</f>
        <v>0</v>
      </c>
      <c r="P37" s="174">
        <f t="shared" ref="P37" si="52">P35*P36</f>
        <v>0</v>
      </c>
      <c r="Q37" s="174">
        <f t="shared" ref="Q37" si="53">Q35*Q36</f>
        <v>0</v>
      </c>
      <c r="R37" s="174">
        <f t="shared" ref="R37" si="54">R35*R36</f>
        <v>0</v>
      </c>
      <c r="S37" s="163"/>
      <c r="T37" s="163"/>
    </row>
    <row r="38" spans="1:20" ht="4.5" hidden="1" customHeight="1" x14ac:dyDescent="0.35">
      <c r="A38" s="177"/>
      <c r="B38" s="178"/>
      <c r="C38" s="179"/>
      <c r="D38" s="179"/>
      <c r="E38" s="179"/>
      <c r="F38" s="179"/>
      <c r="G38" s="179"/>
      <c r="H38" s="179"/>
      <c r="I38" s="179"/>
      <c r="J38" s="179"/>
      <c r="K38" s="179"/>
      <c r="L38" s="179"/>
      <c r="M38" s="179"/>
      <c r="N38" s="179"/>
      <c r="O38" s="179"/>
      <c r="P38" s="179"/>
      <c r="Q38" s="179"/>
      <c r="R38" s="180"/>
      <c r="S38" s="163"/>
      <c r="T38" s="163"/>
    </row>
    <row r="39" spans="1:20" hidden="1" x14ac:dyDescent="0.35">
      <c r="A39" s="678"/>
      <c r="B39" s="171" t="s">
        <v>56</v>
      </c>
      <c r="C39" s="172" t="s">
        <v>351</v>
      </c>
      <c r="D39" s="173"/>
      <c r="E39" s="173"/>
      <c r="F39" s="173"/>
      <c r="G39" s="173"/>
      <c r="H39" s="173"/>
      <c r="I39" s="173"/>
      <c r="J39" s="173"/>
      <c r="K39" s="173"/>
      <c r="L39" s="173"/>
      <c r="M39" s="173"/>
      <c r="N39" s="173"/>
      <c r="O39" s="173"/>
      <c r="P39" s="173"/>
      <c r="Q39" s="173"/>
      <c r="R39" s="173"/>
      <c r="S39" s="163"/>
      <c r="T39" s="163"/>
    </row>
    <row r="40" spans="1:20" hidden="1" x14ac:dyDescent="0.35">
      <c r="A40" s="678"/>
      <c r="B40" s="171" t="s">
        <v>0</v>
      </c>
      <c r="C40" s="172" t="s">
        <v>352</v>
      </c>
      <c r="D40" s="173"/>
      <c r="E40" s="173"/>
      <c r="F40" s="173"/>
      <c r="G40" s="173"/>
      <c r="H40" s="173"/>
      <c r="I40" s="173"/>
      <c r="J40" s="173"/>
      <c r="K40" s="173"/>
      <c r="L40" s="173"/>
      <c r="M40" s="173"/>
      <c r="N40" s="173"/>
      <c r="O40" s="173"/>
      <c r="P40" s="173"/>
      <c r="Q40" s="173"/>
      <c r="R40" s="173"/>
      <c r="S40" s="163"/>
      <c r="T40" s="163"/>
    </row>
    <row r="41" spans="1:20" hidden="1" x14ac:dyDescent="0.35">
      <c r="A41" s="678"/>
      <c r="B41" s="175" t="s">
        <v>1</v>
      </c>
      <c r="C41" s="176" t="s">
        <v>3</v>
      </c>
      <c r="D41" s="174">
        <f t="shared" ref="D41:L41" si="55">D39*D40</f>
        <v>0</v>
      </c>
      <c r="E41" s="174">
        <f t="shared" si="55"/>
        <v>0</v>
      </c>
      <c r="F41" s="174">
        <f t="shared" si="55"/>
        <v>0</v>
      </c>
      <c r="G41" s="174">
        <f t="shared" si="55"/>
        <v>0</v>
      </c>
      <c r="H41" s="174">
        <f t="shared" si="55"/>
        <v>0</v>
      </c>
      <c r="I41" s="174">
        <f t="shared" si="55"/>
        <v>0</v>
      </c>
      <c r="J41" s="174">
        <f t="shared" si="55"/>
        <v>0</v>
      </c>
      <c r="K41" s="174">
        <f t="shared" si="55"/>
        <v>0</v>
      </c>
      <c r="L41" s="174">
        <f t="shared" si="55"/>
        <v>0</v>
      </c>
      <c r="M41" s="174">
        <f t="shared" ref="M41" si="56">M39*M40</f>
        <v>0</v>
      </c>
      <c r="N41" s="174">
        <f t="shared" ref="N41" si="57">N39*N40</f>
        <v>0</v>
      </c>
      <c r="O41" s="174">
        <f t="shared" ref="O41" si="58">O39*O40</f>
        <v>0</v>
      </c>
      <c r="P41" s="174">
        <f t="shared" ref="P41" si="59">P39*P40</f>
        <v>0</v>
      </c>
      <c r="Q41" s="174">
        <f t="shared" ref="Q41" si="60">Q39*Q40</f>
        <v>0</v>
      </c>
      <c r="R41" s="174">
        <f t="shared" ref="R41" si="61">R39*R40</f>
        <v>0</v>
      </c>
      <c r="S41" s="163"/>
      <c r="T41" s="163"/>
    </row>
    <row r="42" spans="1:20" ht="4.5" hidden="1" customHeight="1" x14ac:dyDescent="0.35">
      <c r="A42" s="177"/>
      <c r="B42" s="178"/>
      <c r="C42" s="179"/>
      <c r="D42" s="179"/>
      <c r="E42" s="179"/>
      <c r="F42" s="179"/>
      <c r="G42" s="179"/>
      <c r="H42" s="179"/>
      <c r="I42" s="179"/>
      <c r="J42" s="179"/>
      <c r="K42" s="179"/>
      <c r="L42" s="179"/>
      <c r="M42" s="179"/>
      <c r="N42" s="179"/>
      <c r="O42" s="179"/>
      <c r="P42" s="179"/>
      <c r="Q42" s="179"/>
      <c r="R42" s="180"/>
      <c r="S42" s="163"/>
      <c r="T42" s="163"/>
    </row>
    <row r="43" spans="1:20" hidden="1" x14ac:dyDescent="0.35">
      <c r="A43" s="678"/>
      <c r="B43" s="171" t="s">
        <v>57</v>
      </c>
      <c r="C43" s="172" t="s">
        <v>351</v>
      </c>
      <c r="D43" s="173"/>
      <c r="E43" s="173"/>
      <c r="F43" s="173"/>
      <c r="G43" s="173"/>
      <c r="H43" s="173"/>
      <c r="I43" s="173"/>
      <c r="J43" s="173"/>
      <c r="K43" s="173"/>
      <c r="L43" s="173"/>
      <c r="M43" s="173"/>
      <c r="N43" s="173"/>
      <c r="O43" s="173"/>
      <c r="P43" s="173"/>
      <c r="Q43" s="173"/>
      <c r="R43" s="173"/>
      <c r="S43" s="163"/>
      <c r="T43" s="163"/>
    </row>
    <row r="44" spans="1:20" hidden="1" x14ac:dyDescent="0.35">
      <c r="A44" s="678"/>
      <c r="B44" s="171" t="s">
        <v>0</v>
      </c>
      <c r="C44" s="172" t="s">
        <v>352</v>
      </c>
      <c r="D44" s="173"/>
      <c r="E44" s="173"/>
      <c r="F44" s="173"/>
      <c r="G44" s="173"/>
      <c r="H44" s="173"/>
      <c r="I44" s="173"/>
      <c r="J44" s="173"/>
      <c r="K44" s="173"/>
      <c r="L44" s="173"/>
      <c r="M44" s="173"/>
      <c r="N44" s="173"/>
      <c r="O44" s="173"/>
      <c r="P44" s="173"/>
      <c r="Q44" s="173"/>
      <c r="R44" s="173"/>
      <c r="S44" s="163"/>
      <c r="T44" s="163"/>
    </row>
    <row r="45" spans="1:20" hidden="1" x14ac:dyDescent="0.35">
      <c r="A45" s="678"/>
      <c r="B45" s="175" t="s">
        <v>1</v>
      </c>
      <c r="C45" s="176" t="s">
        <v>3</v>
      </c>
      <c r="D45" s="174">
        <f t="shared" ref="D45:L45" si="62">D43*D44</f>
        <v>0</v>
      </c>
      <c r="E45" s="174">
        <f t="shared" si="62"/>
        <v>0</v>
      </c>
      <c r="F45" s="174">
        <f t="shared" si="62"/>
        <v>0</v>
      </c>
      <c r="G45" s="174">
        <f t="shared" si="62"/>
        <v>0</v>
      </c>
      <c r="H45" s="174">
        <f t="shared" si="62"/>
        <v>0</v>
      </c>
      <c r="I45" s="174">
        <f t="shared" si="62"/>
        <v>0</v>
      </c>
      <c r="J45" s="174">
        <f t="shared" si="62"/>
        <v>0</v>
      </c>
      <c r="K45" s="174">
        <f t="shared" si="62"/>
        <v>0</v>
      </c>
      <c r="L45" s="174">
        <f t="shared" si="62"/>
        <v>0</v>
      </c>
      <c r="M45" s="174">
        <f t="shared" ref="M45" si="63">M43*M44</f>
        <v>0</v>
      </c>
      <c r="N45" s="174">
        <f t="shared" ref="N45" si="64">N43*N44</f>
        <v>0</v>
      </c>
      <c r="O45" s="174">
        <f t="shared" ref="O45" si="65">O43*O44</f>
        <v>0</v>
      </c>
      <c r="P45" s="174">
        <f t="shared" ref="P45" si="66">P43*P44</f>
        <v>0</v>
      </c>
      <c r="Q45" s="174">
        <f t="shared" ref="Q45" si="67">Q43*Q44</f>
        <v>0</v>
      </c>
      <c r="R45" s="174">
        <f t="shared" ref="R45" si="68">R43*R44</f>
        <v>0</v>
      </c>
      <c r="S45" s="163"/>
      <c r="T45" s="163"/>
    </row>
    <row r="46" spans="1:20" ht="12" hidden="1" customHeight="1" outlineLevel="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hidden="1" customHeight="1" outlineLevel="1" x14ac:dyDescent="0.35">
      <c r="A47" s="673" t="s">
        <v>139</v>
      </c>
      <c r="B47" s="674"/>
      <c r="C47" s="176" t="s">
        <v>3</v>
      </c>
      <c r="D47" s="173"/>
      <c r="E47" s="173"/>
      <c r="F47" s="173"/>
      <c r="G47" s="173"/>
      <c r="H47" s="173"/>
      <c r="I47" s="173"/>
      <c r="J47" s="173"/>
      <c r="K47" s="173"/>
      <c r="L47" s="173"/>
      <c r="M47" s="173"/>
      <c r="N47" s="173"/>
      <c r="O47" s="173"/>
      <c r="P47" s="173"/>
      <c r="Q47" s="173"/>
      <c r="R47" s="173"/>
      <c r="S47" s="163"/>
      <c r="T47" s="163"/>
    </row>
    <row r="48" spans="1:20" ht="18.75" hidden="1" customHeight="1" outlineLevel="1" x14ac:dyDescent="0.35">
      <c r="A48" s="673" t="s">
        <v>139</v>
      </c>
      <c r="B48" s="674"/>
      <c r="C48" s="176" t="s">
        <v>3</v>
      </c>
      <c r="D48" s="173"/>
      <c r="E48" s="173"/>
      <c r="F48" s="173"/>
      <c r="G48" s="173"/>
      <c r="H48" s="173"/>
      <c r="I48" s="173"/>
      <c r="J48" s="173"/>
      <c r="K48" s="173"/>
      <c r="L48" s="173"/>
      <c r="M48" s="173"/>
      <c r="N48" s="173"/>
      <c r="O48" s="173"/>
      <c r="P48" s="173"/>
      <c r="Q48" s="173"/>
      <c r="R48" s="173"/>
      <c r="S48" s="163"/>
      <c r="T48" s="163"/>
    </row>
    <row r="49" spans="1:22" ht="18.75" hidden="1" customHeight="1" outlineLevel="1" x14ac:dyDescent="0.35">
      <c r="A49" s="673" t="s">
        <v>139</v>
      </c>
      <c r="B49" s="674"/>
      <c r="C49" s="176" t="s">
        <v>3</v>
      </c>
      <c r="D49" s="173"/>
      <c r="E49" s="173"/>
      <c r="F49" s="173"/>
      <c r="G49" s="173"/>
      <c r="H49" s="173"/>
      <c r="I49" s="173"/>
      <c r="J49" s="173"/>
      <c r="K49" s="173"/>
      <c r="L49" s="173"/>
      <c r="M49" s="173"/>
      <c r="N49" s="173"/>
      <c r="O49" s="173"/>
      <c r="P49" s="173"/>
      <c r="Q49" s="173"/>
      <c r="R49" s="173"/>
      <c r="S49" s="163"/>
      <c r="T49" s="163"/>
    </row>
    <row r="50" spans="1:22" ht="18.75" hidden="1" customHeight="1" outlineLevel="1" x14ac:dyDescent="0.35">
      <c r="A50" s="673" t="s">
        <v>139</v>
      </c>
      <c r="B50" s="674"/>
      <c r="C50" s="176" t="s">
        <v>3</v>
      </c>
      <c r="D50" s="173"/>
      <c r="E50" s="173"/>
      <c r="F50" s="173"/>
      <c r="G50" s="173"/>
      <c r="H50" s="173"/>
      <c r="I50" s="173"/>
      <c r="J50" s="173"/>
      <c r="K50" s="173"/>
      <c r="L50" s="173"/>
      <c r="M50" s="173"/>
      <c r="N50" s="173"/>
      <c r="O50" s="173"/>
      <c r="P50" s="173"/>
      <c r="Q50" s="173"/>
      <c r="R50" s="173"/>
      <c r="S50" s="163"/>
      <c r="T50" s="163"/>
    </row>
    <row r="51" spans="1:22" ht="18.75" hidden="1" customHeight="1" outlineLevel="1" x14ac:dyDescent="0.35">
      <c r="A51" s="673" t="s">
        <v>139</v>
      </c>
      <c r="B51" s="674"/>
      <c r="C51" s="176" t="s">
        <v>3</v>
      </c>
      <c r="D51" s="173"/>
      <c r="E51" s="173"/>
      <c r="F51" s="173"/>
      <c r="G51" s="173"/>
      <c r="H51" s="173"/>
      <c r="I51" s="173"/>
      <c r="J51" s="173"/>
      <c r="K51" s="173"/>
      <c r="L51" s="173"/>
      <c r="M51" s="173"/>
      <c r="N51" s="173"/>
      <c r="O51" s="173"/>
      <c r="P51" s="173"/>
      <c r="Q51" s="173"/>
      <c r="R51" s="173"/>
      <c r="S51" s="163"/>
      <c r="T51" s="163"/>
    </row>
    <row r="52" spans="1:22" ht="4.5" hidden="1" customHeight="1" outlineLevel="1" x14ac:dyDescent="0.35">
      <c r="A52" s="157"/>
      <c r="B52" s="158"/>
      <c r="C52" s="160"/>
      <c r="D52" s="160"/>
      <c r="E52" s="160"/>
      <c r="F52" s="160"/>
      <c r="G52" s="160"/>
      <c r="H52" s="160"/>
      <c r="I52" s="160"/>
      <c r="J52" s="160"/>
      <c r="K52" s="160"/>
      <c r="L52" s="160"/>
      <c r="M52" s="160"/>
      <c r="N52" s="160"/>
      <c r="O52" s="160"/>
      <c r="P52" s="160"/>
      <c r="Q52" s="160"/>
      <c r="R52" s="170"/>
      <c r="S52" s="163"/>
      <c r="T52" s="163"/>
    </row>
    <row r="53" spans="1:22" s="185" customFormat="1" ht="21" customHeight="1" collapsed="1" x14ac:dyDescent="0.35">
      <c r="A53" s="675" t="s">
        <v>8</v>
      </c>
      <c r="B53" s="676"/>
      <c r="C53" s="182" t="s">
        <v>3</v>
      </c>
      <c r="D53" s="183">
        <f t="shared" ref="D53:L53" si="69">D9+D13+D17+D21+D25+D29+D33+D37+D41+D45+D47+D48+D49+D50+D51</f>
        <v>0</v>
      </c>
      <c r="E53" s="183">
        <f t="shared" si="69"/>
        <v>0</v>
      </c>
      <c r="F53" s="183">
        <f t="shared" si="69"/>
        <v>0</v>
      </c>
      <c r="G53" s="183">
        <f t="shared" si="69"/>
        <v>155660</v>
      </c>
      <c r="H53" s="183">
        <f t="shared" si="69"/>
        <v>109620</v>
      </c>
      <c r="I53" s="183">
        <f t="shared" si="69"/>
        <v>73520</v>
      </c>
      <c r="J53" s="183">
        <f t="shared" si="69"/>
        <v>72500</v>
      </c>
      <c r="K53" s="183">
        <f t="shared" si="69"/>
        <v>72880</v>
      </c>
      <c r="L53" s="183">
        <f t="shared" si="69"/>
        <v>115160</v>
      </c>
      <c r="M53" s="183">
        <f t="shared" ref="M53:R53" si="70">M9+M13+M17+M21+M25+M29+M33+M37+M41+M45+M47+M48+M49+M50+M51</f>
        <v>110560</v>
      </c>
      <c r="N53" s="183">
        <f t="shared" si="70"/>
        <v>134860</v>
      </c>
      <c r="O53" s="183">
        <f t="shared" si="70"/>
        <v>71140</v>
      </c>
      <c r="P53" s="183">
        <f t="shared" si="70"/>
        <v>0</v>
      </c>
      <c r="Q53" s="183">
        <f t="shared" si="70"/>
        <v>0</v>
      </c>
      <c r="R53" s="183">
        <f t="shared" si="70"/>
        <v>0</v>
      </c>
      <c r="S53" s="184"/>
      <c r="T53" s="184"/>
    </row>
    <row r="54" spans="1:22"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2"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2" ht="15.5" x14ac:dyDescent="0.35">
      <c r="A56" s="187" t="s">
        <v>9</v>
      </c>
      <c r="B56" s="186"/>
      <c r="C56" s="163"/>
      <c r="D56" s="791"/>
      <c r="E56" s="791"/>
      <c r="F56" s="791"/>
      <c r="G56" s="791"/>
      <c r="H56" s="791"/>
      <c r="I56" s="791"/>
      <c r="J56" s="791"/>
      <c r="K56" s="791"/>
      <c r="L56" s="791"/>
      <c r="M56" s="791"/>
      <c r="N56" s="791"/>
      <c r="O56" s="791"/>
      <c r="P56" s="791"/>
      <c r="Q56" s="791"/>
      <c r="R56" s="791"/>
      <c r="S56" s="163"/>
      <c r="T56" s="163"/>
    </row>
    <row r="57" spans="1:22"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2" hidden="1" x14ac:dyDescent="0.35">
      <c r="A58" s="677" t="s">
        <v>10</v>
      </c>
      <c r="B58" s="171"/>
      <c r="C58" s="172" t="s">
        <v>3</v>
      </c>
      <c r="D58" s="173"/>
      <c r="E58" s="173"/>
      <c r="F58" s="173"/>
      <c r="G58" s="173"/>
      <c r="H58" s="173"/>
      <c r="I58" s="173"/>
      <c r="J58" s="173"/>
      <c r="K58" s="173"/>
      <c r="L58" s="173"/>
      <c r="M58" s="173"/>
      <c r="N58" s="173"/>
      <c r="O58" s="173"/>
      <c r="P58" s="173"/>
      <c r="Q58" s="173"/>
      <c r="R58" s="173"/>
      <c r="S58" s="188"/>
      <c r="T58" s="188"/>
      <c r="U58" s="188"/>
      <c r="V58" s="188"/>
    </row>
    <row r="59" spans="1:22" ht="13.5" customHeight="1" x14ac:dyDescent="0.35">
      <c r="A59" s="677"/>
      <c r="B59" s="171" t="s">
        <v>400</v>
      </c>
      <c r="C59" s="172" t="s">
        <v>3</v>
      </c>
      <c r="D59" s="173"/>
      <c r="E59" s="173">
        <f>personal!C10*personal!C16*12</f>
        <v>18336.322869955158</v>
      </c>
      <c r="F59" s="173">
        <f>personal!D10*personal!D16*12</f>
        <v>18336.322869955158</v>
      </c>
      <c r="G59" s="173">
        <f>personal!E10*personal!E16*12</f>
        <v>18336.322869955158</v>
      </c>
      <c r="H59" s="173">
        <f>personal!F10*personal!F16*12</f>
        <v>18336.322869955158</v>
      </c>
      <c r="I59" s="173">
        <f>personal!G10*personal!G16*12</f>
        <v>18336.322869955158</v>
      </c>
      <c r="J59" s="173">
        <f>personal!H10*personal!H16*12</f>
        <v>18336.322869955158</v>
      </c>
      <c r="K59" s="173">
        <f>personal!I10*personal!I16*12</f>
        <v>18336.322869955158</v>
      </c>
      <c r="L59" s="173">
        <f>personal!J10*personal!J16*12</f>
        <v>18336.322869955158</v>
      </c>
      <c r="M59" s="173">
        <f>personal!K10*personal!K16*12</f>
        <v>18336.322869955158</v>
      </c>
      <c r="N59" s="173">
        <f>personal!L10*personal!L16*12</f>
        <v>18336.322869955158</v>
      </c>
      <c r="O59" s="173">
        <f>personal!M10*personal!M16*12</f>
        <v>18336.322869955158</v>
      </c>
      <c r="P59" s="173">
        <f>personal!N10*personal!N16*12</f>
        <v>18336.322869955158</v>
      </c>
      <c r="Q59" s="173">
        <f>personal!O10*personal!O16*12</f>
        <v>18336.322869955158</v>
      </c>
      <c r="R59" s="173">
        <f>personal!P10*personal!P16*12</f>
        <v>18336.322869955158</v>
      </c>
      <c r="S59" s="188"/>
      <c r="T59" s="188"/>
      <c r="U59" s="189"/>
    </row>
    <row r="60" spans="1:22" x14ac:dyDescent="0.35">
      <c r="A60" s="677"/>
      <c r="B60" s="171" t="s">
        <v>418</v>
      </c>
      <c r="C60" s="172" t="s">
        <v>3</v>
      </c>
      <c r="D60" s="173"/>
      <c r="E60" s="173"/>
      <c r="F60" s="173">
        <f>personal!D11*personal!D17*12</f>
        <v>21116.59192825112</v>
      </c>
      <c r="G60" s="173">
        <f>personal!E11*personal!E17*12</f>
        <v>21116.59192825112</v>
      </c>
      <c r="H60" s="173">
        <f>personal!F11*personal!F17*12</f>
        <v>21116.59192825112</v>
      </c>
      <c r="I60" s="173">
        <f>personal!G11*personal!G17*12</f>
        <v>21116.59192825112</v>
      </c>
      <c r="J60" s="173">
        <f>personal!H11*personal!H17*12</f>
        <v>21116.59192825112</v>
      </c>
      <c r="K60" s="173">
        <f>personal!I11*personal!I17*12</f>
        <v>21116.59192825112</v>
      </c>
      <c r="L60" s="173">
        <f>personal!J11*personal!J17*12</f>
        <v>21116.59192825112</v>
      </c>
      <c r="M60" s="173">
        <f>personal!K11*personal!K17*12</f>
        <v>21116.59192825112</v>
      </c>
      <c r="N60" s="173">
        <f>personal!L11*personal!L17*12</f>
        <v>21116.59192825112</v>
      </c>
      <c r="O60" s="173">
        <f>personal!M11*personal!M17*12</f>
        <v>21116.59192825112</v>
      </c>
      <c r="P60" s="173">
        <f>personal!N11*personal!N17*12</f>
        <v>21116.59192825112</v>
      </c>
      <c r="Q60" s="173">
        <f>personal!O11*personal!O17*12</f>
        <v>0</v>
      </c>
      <c r="R60" s="173">
        <f>personal!P11*personal!P17*12</f>
        <v>0</v>
      </c>
      <c r="S60" s="188"/>
      <c r="T60" s="188"/>
      <c r="U60" s="189"/>
    </row>
    <row r="61" spans="1:22" x14ac:dyDescent="0.35">
      <c r="A61" s="677"/>
      <c r="B61" s="171" t="s">
        <v>419</v>
      </c>
      <c r="C61" s="172" t="s">
        <v>3</v>
      </c>
      <c r="D61" s="173"/>
      <c r="E61" s="173"/>
      <c r="F61" s="173">
        <f>personal!D12*personal!D18*12</f>
        <v>2657.3991031390133</v>
      </c>
      <c r="G61" s="173">
        <f>personal!E12*personal!E18*12</f>
        <v>2657.3991031390133</v>
      </c>
      <c r="H61" s="173">
        <f>personal!F12*personal!F18*12</f>
        <v>2657.3991031390133</v>
      </c>
      <c r="I61" s="173">
        <f>personal!G12*personal!G18*12</f>
        <v>2657.3991031390133</v>
      </c>
      <c r="J61" s="173">
        <f>personal!H12*personal!H18*12</f>
        <v>2657.3991031390133</v>
      </c>
      <c r="K61" s="173">
        <f>personal!I12*personal!I18*12</f>
        <v>2657.3991031390133</v>
      </c>
      <c r="L61" s="173">
        <f>personal!J12*personal!J18*12</f>
        <v>2657.3991031390133</v>
      </c>
      <c r="M61" s="173">
        <f>personal!K12*personal!K18*12</f>
        <v>2657.3991031390133</v>
      </c>
      <c r="N61" s="173">
        <f>personal!L12*personal!L18*12</f>
        <v>2657.3991031390133</v>
      </c>
      <c r="O61" s="173">
        <f>personal!M12*personal!M18*12</f>
        <v>2657.3991031390133</v>
      </c>
      <c r="P61" s="173">
        <f>personal!N12*personal!N18*12</f>
        <v>2657.3991031390133</v>
      </c>
      <c r="Q61" s="173">
        <f>personal!O12*personal!O18*12</f>
        <v>2657.3991031390133</v>
      </c>
      <c r="R61" s="173">
        <f>personal!P12*personal!P18*12</f>
        <v>2657.3991031390133</v>
      </c>
      <c r="S61" s="188"/>
      <c r="T61" s="188"/>
      <c r="U61" s="189"/>
    </row>
    <row r="62" spans="1:22" hidden="1" outlineLevel="1" x14ac:dyDescent="0.35">
      <c r="A62" s="677"/>
      <c r="B62" s="171" t="s">
        <v>11</v>
      </c>
      <c r="C62" s="172" t="s">
        <v>3</v>
      </c>
      <c r="D62" s="173"/>
      <c r="E62" s="173"/>
      <c r="F62" s="173"/>
      <c r="G62" s="173"/>
      <c r="H62" s="173"/>
      <c r="I62" s="173"/>
      <c r="J62" s="173"/>
      <c r="K62" s="173"/>
      <c r="L62" s="173"/>
      <c r="M62" s="173"/>
      <c r="N62" s="173"/>
      <c r="O62" s="173"/>
      <c r="P62" s="173"/>
      <c r="Q62" s="173"/>
      <c r="R62" s="173"/>
      <c r="S62" s="188"/>
      <c r="T62" s="188"/>
      <c r="U62" s="189"/>
    </row>
    <row r="63" spans="1:22" hidden="1" outlineLevel="1" x14ac:dyDescent="0.35">
      <c r="A63" s="677"/>
      <c r="B63" s="171" t="s">
        <v>12</v>
      </c>
      <c r="C63" s="172" t="s">
        <v>3</v>
      </c>
      <c r="D63" s="173"/>
      <c r="E63" s="173"/>
      <c r="F63" s="173"/>
      <c r="G63" s="173"/>
      <c r="H63" s="173"/>
      <c r="I63" s="173"/>
      <c r="J63" s="173"/>
      <c r="K63" s="173"/>
      <c r="L63" s="173"/>
      <c r="M63" s="173"/>
      <c r="N63" s="173"/>
      <c r="O63" s="173"/>
      <c r="P63" s="173"/>
      <c r="Q63" s="173"/>
      <c r="R63" s="173"/>
      <c r="S63" s="188"/>
      <c r="T63" s="188"/>
      <c r="U63" s="189"/>
    </row>
    <row r="64" spans="1:22" hidden="1" outlineLevel="1" x14ac:dyDescent="0.35">
      <c r="A64" s="677"/>
      <c r="B64" s="171" t="s">
        <v>13</v>
      </c>
      <c r="C64" s="172" t="s">
        <v>3</v>
      </c>
      <c r="D64" s="173"/>
      <c r="E64" s="173"/>
      <c r="F64" s="173"/>
      <c r="G64" s="173"/>
      <c r="H64" s="173"/>
      <c r="I64" s="173"/>
      <c r="J64" s="173"/>
      <c r="K64" s="173"/>
      <c r="L64" s="173"/>
      <c r="M64" s="173"/>
      <c r="N64" s="173"/>
      <c r="O64" s="173"/>
      <c r="P64" s="173"/>
      <c r="Q64" s="173"/>
      <c r="R64" s="173"/>
      <c r="S64" s="188"/>
      <c r="T64" s="188"/>
      <c r="U64" s="189"/>
    </row>
    <row r="65" spans="1:21" hidden="1" outlineLevel="1" x14ac:dyDescent="0.35">
      <c r="A65" s="677"/>
      <c r="B65" s="171" t="s">
        <v>14</v>
      </c>
      <c r="C65" s="172" t="s">
        <v>3</v>
      </c>
      <c r="D65" s="173"/>
      <c r="E65" s="173"/>
      <c r="F65" s="173"/>
      <c r="G65" s="173"/>
      <c r="H65" s="173"/>
      <c r="I65" s="173"/>
      <c r="J65" s="173"/>
      <c r="K65" s="173"/>
      <c r="L65" s="173"/>
      <c r="M65" s="173"/>
      <c r="N65" s="173"/>
      <c r="O65" s="173"/>
      <c r="P65" s="173"/>
      <c r="Q65" s="173"/>
      <c r="R65" s="173"/>
      <c r="S65" s="188"/>
      <c r="T65" s="188"/>
      <c r="U65" s="189"/>
    </row>
    <row r="66" spans="1:21" hidden="1" outlineLevel="1" x14ac:dyDescent="0.35">
      <c r="A66" s="677"/>
      <c r="B66" s="171" t="s">
        <v>15</v>
      </c>
      <c r="C66" s="172" t="s">
        <v>3</v>
      </c>
      <c r="D66" s="173"/>
      <c r="E66" s="173"/>
      <c r="F66" s="173"/>
      <c r="G66" s="173"/>
      <c r="H66" s="173"/>
      <c r="I66" s="173"/>
      <c r="J66" s="173"/>
      <c r="K66" s="173"/>
      <c r="L66" s="173"/>
      <c r="M66" s="173"/>
      <c r="N66" s="173"/>
      <c r="O66" s="173"/>
      <c r="P66" s="173"/>
      <c r="Q66" s="173"/>
      <c r="R66" s="173"/>
      <c r="S66" s="188"/>
      <c r="T66" s="188"/>
      <c r="U66" s="189"/>
    </row>
    <row r="67" spans="1:21" hidden="1" outlineLevel="1" x14ac:dyDescent="0.35">
      <c r="A67" s="677"/>
      <c r="B67" s="171" t="s">
        <v>16</v>
      </c>
      <c r="C67" s="172"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677"/>
      <c r="B68" s="171" t="s">
        <v>36</v>
      </c>
      <c r="C68" s="172"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677"/>
      <c r="B69" s="171" t="s">
        <v>37</v>
      </c>
      <c r="C69" s="172"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677"/>
      <c r="B70" s="171" t="s">
        <v>38</v>
      </c>
      <c r="C70" s="172"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677"/>
      <c r="B71" s="171" t="s">
        <v>39</v>
      </c>
      <c r="C71" s="172"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677"/>
      <c r="B72" s="171" t="s">
        <v>40</v>
      </c>
      <c r="C72" s="172"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677"/>
      <c r="B73" s="171" t="s">
        <v>41</v>
      </c>
      <c r="C73" s="172"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677"/>
      <c r="B74" s="171" t="s">
        <v>42</v>
      </c>
      <c r="C74" s="172"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677"/>
      <c r="B75" s="171" t="s">
        <v>43</v>
      </c>
      <c r="C75" s="172"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677"/>
      <c r="B76" s="171" t="s">
        <v>44</v>
      </c>
      <c r="C76" s="172"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677"/>
      <c r="B77" s="171" t="s">
        <v>45</v>
      </c>
      <c r="C77" s="172"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677"/>
      <c r="B78" s="171" t="s">
        <v>18</v>
      </c>
      <c r="C78" s="172" t="s">
        <v>3</v>
      </c>
      <c r="D78" s="190">
        <f t="shared" ref="D78:R78" si="71">SUM(D58:D77)</f>
        <v>0</v>
      </c>
      <c r="E78" s="190">
        <f t="shared" si="71"/>
        <v>18336.322869955158</v>
      </c>
      <c r="F78" s="190">
        <f t="shared" si="71"/>
        <v>42110.313901345289</v>
      </c>
      <c r="G78" s="190">
        <f t="shared" si="71"/>
        <v>42110.313901345289</v>
      </c>
      <c r="H78" s="190">
        <f t="shared" si="71"/>
        <v>42110.313901345289</v>
      </c>
      <c r="I78" s="190">
        <f t="shared" si="71"/>
        <v>42110.313901345289</v>
      </c>
      <c r="J78" s="190">
        <f t="shared" si="71"/>
        <v>42110.313901345289</v>
      </c>
      <c r="K78" s="190">
        <f t="shared" si="71"/>
        <v>42110.313901345289</v>
      </c>
      <c r="L78" s="190">
        <f t="shared" si="71"/>
        <v>42110.313901345289</v>
      </c>
      <c r="M78" s="190">
        <f t="shared" si="71"/>
        <v>42110.313901345289</v>
      </c>
      <c r="N78" s="190">
        <f t="shared" si="71"/>
        <v>42110.313901345289</v>
      </c>
      <c r="O78" s="190">
        <f t="shared" si="71"/>
        <v>42110.313901345289</v>
      </c>
      <c r="P78" s="190">
        <f t="shared" si="71"/>
        <v>42110.313901345289</v>
      </c>
      <c r="Q78" s="190">
        <f t="shared" si="71"/>
        <v>20993.721973094172</v>
      </c>
      <c r="R78" s="190">
        <f t="shared" si="71"/>
        <v>20993.721973094172</v>
      </c>
      <c r="S78" s="188"/>
      <c r="T78" s="188"/>
      <c r="U78" s="189"/>
    </row>
    <row r="79" spans="1:21" x14ac:dyDescent="0.35">
      <c r="A79" s="677"/>
      <c r="B79" s="171" t="s">
        <v>17</v>
      </c>
      <c r="C79" s="191"/>
      <c r="D79" s="190">
        <f>D78*Maksumäärad!B5</f>
        <v>0</v>
      </c>
      <c r="E79" s="190">
        <f>E78*Maksumäärad!C5</f>
        <v>6197.6771300448436</v>
      </c>
      <c r="F79" s="190">
        <f>F78*Maksumäärad!D5</f>
        <v>14233.286098654709</v>
      </c>
      <c r="G79" s="190">
        <f>G78*Maksumäärad!E5</f>
        <v>14233.286098654709</v>
      </c>
      <c r="H79" s="190">
        <f>H78*Maksumäärad!F5</f>
        <v>14233.286098654709</v>
      </c>
      <c r="I79" s="190">
        <f>I78*Maksumäärad!G5</f>
        <v>14233.286098654709</v>
      </c>
      <c r="J79" s="190">
        <f>J78*Maksumäärad!H5</f>
        <v>14233.286098654709</v>
      </c>
      <c r="K79" s="190">
        <f>K78*Maksumäärad!I5</f>
        <v>14233.286098654709</v>
      </c>
      <c r="L79" s="190">
        <f>L78*Maksumäärad!J5</f>
        <v>14233.286098654709</v>
      </c>
      <c r="M79" s="190">
        <f>M78*Maksumäärad!K5</f>
        <v>14233.286098654709</v>
      </c>
      <c r="N79" s="190">
        <f>N78*Maksumäärad!L5</f>
        <v>14233.286098654709</v>
      </c>
      <c r="O79" s="190">
        <f>O78*Maksumäärad!M5</f>
        <v>14233.286098654709</v>
      </c>
      <c r="P79" s="190">
        <f>P78*Maksumäärad!N5</f>
        <v>14233.286098654709</v>
      </c>
      <c r="Q79" s="190">
        <f>Q78*Maksumäärad!O5</f>
        <v>7095.8780269058307</v>
      </c>
      <c r="R79" s="190">
        <f>R78*Maksumäärad!P5</f>
        <v>7095.8780269058307</v>
      </c>
      <c r="S79" s="188"/>
      <c r="T79" s="188"/>
      <c r="U79" s="189"/>
    </row>
    <row r="80" spans="1:21" x14ac:dyDescent="0.35">
      <c r="A80" s="688" t="s">
        <v>19</v>
      </c>
      <c r="B80" s="689"/>
      <c r="C80" s="192"/>
      <c r="D80" s="193">
        <f t="shared" ref="D80:M80" si="72">SUM(D78:D79)</f>
        <v>0</v>
      </c>
      <c r="E80" s="193">
        <f t="shared" si="72"/>
        <v>24534</v>
      </c>
      <c r="F80" s="193">
        <f t="shared" si="72"/>
        <v>56343.6</v>
      </c>
      <c r="G80" s="193">
        <f t="shared" si="72"/>
        <v>56343.6</v>
      </c>
      <c r="H80" s="193">
        <f t="shared" si="72"/>
        <v>56343.6</v>
      </c>
      <c r="I80" s="193">
        <f t="shared" si="72"/>
        <v>56343.6</v>
      </c>
      <c r="J80" s="193">
        <f t="shared" si="72"/>
        <v>56343.6</v>
      </c>
      <c r="K80" s="193">
        <f t="shared" si="72"/>
        <v>56343.6</v>
      </c>
      <c r="L80" s="193">
        <f t="shared" si="72"/>
        <v>56343.6</v>
      </c>
      <c r="M80" s="193">
        <f t="shared" si="72"/>
        <v>56343.6</v>
      </c>
      <c r="N80" s="193">
        <f t="shared" ref="N80:R80" si="73">SUM(N78:N79)</f>
        <v>56343.6</v>
      </c>
      <c r="O80" s="193">
        <f t="shared" si="73"/>
        <v>56343.6</v>
      </c>
      <c r="P80" s="193">
        <f t="shared" si="73"/>
        <v>56343.6</v>
      </c>
      <c r="Q80" s="193">
        <f t="shared" si="73"/>
        <v>28089.600000000002</v>
      </c>
      <c r="R80" s="193">
        <f t="shared" si="73"/>
        <v>28089.600000000002</v>
      </c>
      <c r="S80" s="188"/>
      <c r="T80" s="188"/>
      <c r="U80" s="189"/>
    </row>
    <row r="81" spans="1:22"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2" hidden="1" x14ac:dyDescent="0.35">
      <c r="A82" s="677" t="s">
        <v>20</v>
      </c>
      <c r="B82" s="171"/>
      <c r="C82" s="172" t="s">
        <v>3</v>
      </c>
      <c r="D82" s="173"/>
      <c r="E82" s="173"/>
      <c r="F82" s="173"/>
      <c r="G82" s="173"/>
      <c r="H82" s="173"/>
      <c r="I82" s="173"/>
      <c r="J82" s="173"/>
      <c r="K82" s="173"/>
      <c r="L82" s="173"/>
      <c r="M82" s="173"/>
      <c r="N82" s="173"/>
      <c r="O82" s="173"/>
      <c r="P82" s="173"/>
      <c r="Q82" s="173"/>
      <c r="R82" s="173"/>
      <c r="S82" s="188"/>
      <c r="T82" s="188"/>
      <c r="U82" s="189"/>
    </row>
    <row r="83" spans="1:22" hidden="1" x14ac:dyDescent="0.35">
      <c r="A83" s="677"/>
      <c r="B83" s="171"/>
      <c r="C83" s="172" t="s">
        <v>3</v>
      </c>
      <c r="D83" s="173"/>
      <c r="E83" s="173"/>
      <c r="F83" s="173"/>
      <c r="G83" s="173"/>
      <c r="H83" s="173"/>
      <c r="I83" s="173"/>
      <c r="J83" s="173"/>
      <c r="K83" s="173"/>
      <c r="L83" s="173"/>
      <c r="M83" s="173"/>
      <c r="N83" s="173"/>
      <c r="O83" s="173"/>
      <c r="P83" s="173"/>
      <c r="Q83" s="173"/>
      <c r="R83" s="173"/>
      <c r="S83" s="188"/>
      <c r="T83" s="188"/>
      <c r="U83" s="189"/>
    </row>
    <row r="84" spans="1:22" hidden="1" x14ac:dyDescent="0.35">
      <c r="A84" s="677"/>
      <c r="B84" s="171"/>
      <c r="C84" s="172" t="s">
        <v>3</v>
      </c>
      <c r="D84" s="173"/>
      <c r="E84" s="173"/>
      <c r="F84" s="173"/>
      <c r="G84" s="173"/>
      <c r="H84" s="173"/>
      <c r="I84" s="173"/>
      <c r="J84" s="173"/>
      <c r="K84" s="173"/>
      <c r="L84" s="173"/>
      <c r="M84" s="173"/>
      <c r="N84" s="173"/>
      <c r="O84" s="173"/>
      <c r="P84" s="173"/>
      <c r="Q84" s="173"/>
      <c r="R84" s="173"/>
      <c r="S84" s="188"/>
      <c r="T84" s="188"/>
      <c r="U84" s="189"/>
    </row>
    <row r="85" spans="1:22" hidden="1" x14ac:dyDescent="0.35">
      <c r="A85" s="677"/>
      <c r="B85" s="171"/>
      <c r="C85" s="172" t="s">
        <v>3</v>
      </c>
      <c r="D85" s="173"/>
      <c r="E85" s="173"/>
      <c r="F85" s="173"/>
      <c r="G85" s="173"/>
      <c r="H85" s="173"/>
      <c r="I85" s="173"/>
      <c r="J85" s="173"/>
      <c r="K85" s="173"/>
      <c r="L85" s="173"/>
      <c r="M85" s="173"/>
      <c r="N85" s="173"/>
      <c r="O85" s="173"/>
      <c r="P85" s="173"/>
      <c r="Q85" s="173"/>
      <c r="R85" s="173"/>
      <c r="S85" s="188"/>
      <c r="T85" s="188"/>
      <c r="U85" s="189"/>
    </row>
    <row r="86" spans="1:22" hidden="1" x14ac:dyDescent="0.35">
      <c r="A86" s="677"/>
      <c r="B86" s="171"/>
      <c r="C86" s="172" t="s">
        <v>3</v>
      </c>
      <c r="D86" s="173"/>
      <c r="E86" s="173"/>
      <c r="F86" s="173"/>
      <c r="G86" s="173"/>
      <c r="H86" s="173"/>
      <c r="I86" s="173"/>
      <c r="J86" s="173"/>
      <c r="K86" s="173"/>
      <c r="L86" s="173"/>
      <c r="M86" s="173"/>
      <c r="N86" s="173"/>
      <c r="O86" s="173"/>
      <c r="P86" s="173"/>
      <c r="Q86" s="173"/>
      <c r="R86" s="173"/>
      <c r="S86" s="188"/>
      <c r="T86" s="188"/>
      <c r="U86" s="189"/>
    </row>
    <row r="87" spans="1:22" hidden="1" x14ac:dyDescent="0.35">
      <c r="A87" s="677"/>
      <c r="B87" s="171"/>
      <c r="C87" s="172" t="s">
        <v>3</v>
      </c>
      <c r="D87" s="173"/>
      <c r="E87" s="173"/>
      <c r="F87" s="173"/>
      <c r="G87" s="173"/>
      <c r="H87" s="173"/>
      <c r="I87" s="173"/>
      <c r="J87" s="173"/>
      <c r="K87" s="173"/>
      <c r="L87" s="173"/>
      <c r="M87" s="173"/>
      <c r="N87" s="173"/>
      <c r="O87" s="173"/>
      <c r="P87" s="173"/>
      <c r="Q87" s="173"/>
      <c r="R87" s="173"/>
      <c r="S87" s="188"/>
      <c r="T87" s="188"/>
      <c r="U87" s="189"/>
    </row>
    <row r="88" spans="1:22" hidden="1" x14ac:dyDescent="0.35">
      <c r="A88" s="677"/>
      <c r="B88" s="171" t="s">
        <v>46</v>
      </c>
      <c r="C88" s="172" t="s">
        <v>3</v>
      </c>
      <c r="D88" s="173"/>
      <c r="E88" s="173"/>
      <c r="F88" s="173"/>
      <c r="G88" s="173"/>
      <c r="H88" s="173"/>
      <c r="I88" s="173"/>
      <c r="J88" s="173"/>
      <c r="K88" s="173"/>
      <c r="L88" s="173"/>
      <c r="M88" s="173"/>
      <c r="N88" s="173"/>
      <c r="O88" s="173"/>
      <c r="P88" s="173"/>
      <c r="Q88" s="173"/>
      <c r="R88" s="173"/>
      <c r="S88" s="188"/>
      <c r="T88" s="188"/>
      <c r="U88" s="189"/>
    </row>
    <row r="89" spans="1:22" hidden="1" x14ac:dyDescent="0.35">
      <c r="A89" s="677"/>
      <c r="B89" s="171" t="s">
        <v>47</v>
      </c>
      <c r="C89" s="172" t="s">
        <v>3</v>
      </c>
      <c r="D89" s="173"/>
      <c r="E89" s="173"/>
      <c r="F89" s="173"/>
      <c r="G89" s="173"/>
      <c r="H89" s="173"/>
      <c r="I89" s="173"/>
      <c r="J89" s="173"/>
      <c r="K89" s="173"/>
      <c r="L89" s="173"/>
      <c r="M89" s="173"/>
      <c r="N89" s="173"/>
      <c r="O89" s="173"/>
      <c r="P89" s="173"/>
      <c r="Q89" s="173"/>
      <c r="R89" s="173"/>
      <c r="S89" s="188"/>
      <c r="T89" s="188"/>
      <c r="U89" s="189"/>
    </row>
    <row r="90" spans="1:22" hidden="1" x14ac:dyDescent="0.35">
      <c r="A90" s="677"/>
      <c r="B90" s="171" t="s">
        <v>48</v>
      </c>
      <c r="C90" s="172" t="s">
        <v>3</v>
      </c>
      <c r="D90" s="173"/>
      <c r="E90" s="173"/>
      <c r="F90" s="173"/>
      <c r="G90" s="173"/>
      <c r="H90" s="173"/>
      <c r="I90" s="173"/>
      <c r="J90" s="173"/>
      <c r="K90" s="173"/>
      <c r="L90" s="173"/>
      <c r="M90" s="173"/>
      <c r="N90" s="173"/>
      <c r="O90" s="173"/>
      <c r="P90" s="173"/>
      <c r="Q90" s="173"/>
      <c r="R90" s="173"/>
      <c r="S90" s="188"/>
      <c r="T90" s="188"/>
      <c r="U90" s="189"/>
    </row>
    <row r="91" spans="1:22" hidden="1" x14ac:dyDescent="0.35">
      <c r="A91" s="677"/>
      <c r="B91" s="171" t="s">
        <v>49</v>
      </c>
      <c r="C91" s="172" t="s">
        <v>3</v>
      </c>
      <c r="D91" s="173"/>
      <c r="E91" s="173"/>
      <c r="F91" s="173"/>
      <c r="G91" s="173"/>
      <c r="H91" s="173"/>
      <c r="I91" s="173"/>
      <c r="J91" s="173"/>
      <c r="K91" s="173"/>
      <c r="L91" s="173"/>
      <c r="M91" s="173"/>
      <c r="N91" s="173"/>
      <c r="O91" s="173"/>
      <c r="P91" s="173"/>
      <c r="Q91" s="173"/>
      <c r="R91" s="173"/>
      <c r="S91" s="188"/>
      <c r="T91" s="188"/>
      <c r="U91" s="189"/>
    </row>
    <row r="92" spans="1:22" hidden="1" x14ac:dyDescent="0.35">
      <c r="A92" s="688" t="s">
        <v>21</v>
      </c>
      <c r="B92" s="689"/>
      <c r="C92" s="192"/>
      <c r="D92" s="193">
        <f t="shared" ref="D92:R92" si="74">SUM(D82:D91)</f>
        <v>0</v>
      </c>
      <c r="E92" s="193">
        <f t="shared" si="74"/>
        <v>0</v>
      </c>
      <c r="F92" s="193">
        <f t="shared" si="74"/>
        <v>0</v>
      </c>
      <c r="G92" s="193">
        <f t="shared" si="74"/>
        <v>0</v>
      </c>
      <c r="H92" s="193">
        <f t="shared" si="74"/>
        <v>0</v>
      </c>
      <c r="I92" s="193">
        <f t="shared" si="74"/>
        <v>0</v>
      </c>
      <c r="J92" s="193">
        <f t="shared" si="74"/>
        <v>0</v>
      </c>
      <c r="K92" s="193">
        <f t="shared" si="74"/>
        <v>0</v>
      </c>
      <c r="L92" s="193">
        <f t="shared" si="74"/>
        <v>0</v>
      </c>
      <c r="M92" s="193">
        <f t="shared" si="74"/>
        <v>0</v>
      </c>
      <c r="N92" s="193">
        <f t="shared" si="74"/>
        <v>0</v>
      </c>
      <c r="O92" s="193">
        <f t="shared" si="74"/>
        <v>0</v>
      </c>
      <c r="P92" s="193">
        <f t="shared" si="74"/>
        <v>0</v>
      </c>
      <c r="Q92" s="193">
        <f t="shared" si="74"/>
        <v>0</v>
      </c>
      <c r="R92" s="193">
        <f t="shared" si="74"/>
        <v>0</v>
      </c>
      <c r="S92" s="188"/>
      <c r="T92" s="188"/>
      <c r="U92" s="189"/>
    </row>
    <row r="93" spans="1:22" ht="4.5" hidden="1"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2" x14ac:dyDescent="0.35">
      <c r="A94" s="690" t="s">
        <v>22</v>
      </c>
      <c r="B94" s="492" t="s">
        <v>22</v>
      </c>
      <c r="C94" s="172" t="s">
        <v>3</v>
      </c>
      <c r="D94" s="173"/>
      <c r="E94" s="173"/>
      <c r="F94" s="173">
        <v>15000</v>
      </c>
      <c r="G94" s="173">
        <f>F94</f>
        <v>15000</v>
      </c>
      <c r="H94" s="173">
        <f>G94</f>
        <v>15000</v>
      </c>
      <c r="I94" s="173">
        <f>H94</f>
        <v>15000</v>
      </c>
      <c r="J94" s="173">
        <f t="shared" ref="J94:O94" si="75">I94</f>
        <v>15000</v>
      </c>
      <c r="K94" s="173">
        <f t="shared" si="75"/>
        <v>15000</v>
      </c>
      <c r="L94" s="173">
        <f t="shared" si="75"/>
        <v>15000</v>
      </c>
      <c r="M94" s="173">
        <f t="shared" si="75"/>
        <v>15000</v>
      </c>
      <c r="N94" s="173">
        <f t="shared" si="75"/>
        <v>15000</v>
      </c>
      <c r="O94" s="173">
        <f t="shared" si="75"/>
        <v>15000</v>
      </c>
      <c r="P94" s="173"/>
      <c r="Q94" s="173"/>
      <c r="R94" s="173"/>
      <c r="S94" s="188"/>
      <c r="T94" s="188"/>
      <c r="U94" s="189"/>
      <c r="V94" s="504"/>
    </row>
    <row r="95" spans="1:22" hidden="1" x14ac:dyDescent="0.35">
      <c r="A95" s="691"/>
      <c r="B95" s="171" t="s">
        <v>411</v>
      </c>
      <c r="C95" s="172" t="s">
        <v>3</v>
      </c>
      <c r="D95" s="173"/>
      <c r="E95" s="173"/>
      <c r="F95" s="173"/>
      <c r="G95" s="173"/>
      <c r="H95" s="173"/>
      <c r="I95" s="173"/>
      <c r="J95" s="173"/>
      <c r="K95" s="173"/>
      <c r="L95" s="173"/>
      <c r="M95" s="173"/>
      <c r="N95" s="173"/>
      <c r="O95" s="173"/>
      <c r="P95" s="173"/>
      <c r="Q95" s="173"/>
      <c r="R95" s="173"/>
      <c r="S95" s="188"/>
      <c r="T95" s="188"/>
      <c r="U95" s="189"/>
    </row>
    <row r="96" spans="1:22" hidden="1" x14ac:dyDescent="0.35">
      <c r="A96" s="691"/>
      <c r="B96" s="171" t="s">
        <v>412</v>
      </c>
      <c r="C96" s="172" t="s">
        <v>3</v>
      </c>
      <c r="D96" s="173"/>
      <c r="E96" s="173"/>
      <c r="F96" s="173"/>
      <c r="G96" s="173"/>
      <c r="H96" s="173"/>
      <c r="I96" s="173"/>
      <c r="J96" s="173"/>
      <c r="K96" s="173"/>
      <c r="L96" s="173"/>
      <c r="M96" s="173"/>
      <c r="N96" s="173"/>
      <c r="O96" s="173"/>
      <c r="P96" s="173"/>
      <c r="Q96" s="173"/>
      <c r="R96" s="173"/>
      <c r="S96" s="188"/>
      <c r="T96" s="188"/>
      <c r="U96" s="189"/>
    </row>
    <row r="97" spans="1:21" hidden="1" x14ac:dyDescent="0.35">
      <c r="A97" s="691"/>
      <c r="B97" s="171" t="s">
        <v>413</v>
      </c>
      <c r="C97" s="172" t="s">
        <v>3</v>
      </c>
      <c r="D97" s="173"/>
      <c r="E97" s="173"/>
      <c r="F97" s="173"/>
      <c r="G97" s="173"/>
      <c r="H97" s="173"/>
      <c r="I97" s="173"/>
      <c r="J97" s="173"/>
      <c r="K97" s="173"/>
      <c r="L97" s="173"/>
      <c r="M97" s="173"/>
      <c r="N97" s="173"/>
      <c r="O97" s="173"/>
      <c r="P97" s="173"/>
      <c r="Q97" s="173"/>
      <c r="R97" s="173"/>
      <c r="S97" s="188"/>
      <c r="T97" s="188"/>
      <c r="U97" s="189"/>
    </row>
    <row r="98" spans="1:21" hidden="1" x14ac:dyDescent="0.35">
      <c r="A98" s="691"/>
      <c r="B98" s="171" t="s">
        <v>414</v>
      </c>
      <c r="C98" s="172" t="s">
        <v>3</v>
      </c>
      <c r="D98" s="173"/>
      <c r="E98" s="173"/>
      <c r="F98" s="173"/>
      <c r="G98" s="173"/>
      <c r="H98" s="173"/>
      <c r="I98" s="173"/>
      <c r="J98" s="173"/>
      <c r="K98" s="173"/>
      <c r="L98" s="173"/>
      <c r="M98" s="173"/>
      <c r="N98" s="173"/>
      <c r="O98" s="173"/>
      <c r="P98" s="173"/>
      <c r="Q98" s="173"/>
      <c r="R98" s="173"/>
      <c r="S98" s="188"/>
      <c r="T98" s="188"/>
      <c r="U98" s="189"/>
    </row>
    <row r="99" spans="1:21" hidden="1" x14ac:dyDescent="0.35">
      <c r="A99" s="691"/>
      <c r="B99" s="171" t="s">
        <v>23</v>
      </c>
      <c r="C99" s="172" t="s">
        <v>3</v>
      </c>
      <c r="D99" s="173"/>
      <c r="E99" s="173"/>
      <c r="F99" s="173"/>
      <c r="G99" s="173"/>
      <c r="H99" s="173"/>
      <c r="I99" s="173"/>
      <c r="J99" s="173"/>
      <c r="K99" s="173"/>
      <c r="L99" s="173"/>
      <c r="M99" s="173"/>
      <c r="N99" s="173"/>
      <c r="O99" s="173"/>
      <c r="P99" s="173"/>
      <c r="Q99" s="173"/>
      <c r="R99" s="173"/>
      <c r="S99" s="188"/>
      <c r="T99" s="188"/>
      <c r="U99" s="189"/>
    </row>
    <row r="100" spans="1:21" hidden="1" x14ac:dyDescent="0.35">
      <c r="A100" s="691"/>
      <c r="B100" s="171" t="s">
        <v>24</v>
      </c>
      <c r="C100" s="172" t="s">
        <v>3</v>
      </c>
      <c r="D100" s="173"/>
      <c r="E100" s="173"/>
      <c r="F100" s="173"/>
      <c r="G100" s="173"/>
      <c r="H100" s="173"/>
      <c r="I100" s="173"/>
      <c r="J100" s="173"/>
      <c r="K100" s="173"/>
      <c r="L100" s="173"/>
      <c r="M100" s="173"/>
      <c r="N100" s="173"/>
      <c r="O100" s="173"/>
      <c r="P100" s="173"/>
      <c r="Q100" s="173"/>
      <c r="R100" s="173"/>
      <c r="S100" s="188"/>
      <c r="T100" s="188"/>
      <c r="U100" s="189"/>
    </row>
    <row r="101" spans="1:21" hidden="1" x14ac:dyDescent="0.35">
      <c r="A101" s="691"/>
      <c r="B101" s="171" t="s">
        <v>25</v>
      </c>
      <c r="C101" s="172" t="s">
        <v>3</v>
      </c>
      <c r="D101" s="173"/>
      <c r="E101" s="173"/>
      <c r="F101" s="173"/>
      <c r="G101" s="173"/>
      <c r="H101" s="173"/>
      <c r="I101" s="173"/>
      <c r="J101" s="173"/>
      <c r="K101" s="173"/>
      <c r="L101" s="173"/>
      <c r="M101" s="173"/>
      <c r="N101" s="173"/>
      <c r="O101" s="173"/>
      <c r="P101" s="173"/>
      <c r="Q101" s="173"/>
      <c r="R101" s="173"/>
      <c r="S101" s="188"/>
      <c r="T101" s="188"/>
      <c r="U101" s="189"/>
    </row>
    <row r="102" spans="1:21" hidden="1" x14ac:dyDescent="0.35">
      <c r="A102" s="691"/>
      <c r="B102" s="171" t="s">
        <v>26</v>
      </c>
      <c r="C102" s="172" t="s">
        <v>3</v>
      </c>
      <c r="D102" s="173"/>
      <c r="E102" s="173"/>
      <c r="F102" s="173"/>
      <c r="G102" s="173"/>
      <c r="H102" s="173"/>
      <c r="I102" s="173"/>
      <c r="J102" s="173"/>
      <c r="K102" s="173"/>
      <c r="L102" s="173"/>
      <c r="M102" s="173"/>
      <c r="N102" s="173"/>
      <c r="O102" s="173"/>
      <c r="P102" s="173"/>
      <c r="Q102" s="173"/>
      <c r="R102" s="173"/>
      <c r="S102" s="188"/>
      <c r="T102" s="188"/>
      <c r="U102" s="189"/>
    </row>
    <row r="103" spans="1:21" hidden="1" x14ac:dyDescent="0.35">
      <c r="A103" s="692"/>
      <c r="B103" s="171" t="s">
        <v>27</v>
      </c>
      <c r="C103" s="172"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x14ac:dyDescent="0.35">
      <c r="A104" s="688" t="s">
        <v>28</v>
      </c>
      <c r="B104" s="689"/>
      <c r="C104" s="192"/>
      <c r="D104" s="193">
        <f>SUM(D94:D103)</f>
        <v>0</v>
      </c>
      <c r="E104" s="193">
        <f t="shared" ref="E104:R104" si="76">SUM(E94:E103)</f>
        <v>0</v>
      </c>
      <c r="F104" s="193">
        <f t="shared" si="76"/>
        <v>15000</v>
      </c>
      <c r="G104" s="193">
        <f t="shared" si="76"/>
        <v>15000</v>
      </c>
      <c r="H104" s="193">
        <f t="shared" si="76"/>
        <v>15000</v>
      </c>
      <c r="I104" s="193">
        <f t="shared" si="76"/>
        <v>15000</v>
      </c>
      <c r="J104" s="193">
        <f t="shared" si="76"/>
        <v>15000</v>
      </c>
      <c r="K104" s="193">
        <f t="shared" si="76"/>
        <v>15000</v>
      </c>
      <c r="L104" s="193">
        <f t="shared" si="76"/>
        <v>15000</v>
      </c>
      <c r="M104" s="193">
        <f t="shared" si="76"/>
        <v>15000</v>
      </c>
      <c r="N104" s="193">
        <f t="shared" si="76"/>
        <v>15000</v>
      </c>
      <c r="O104" s="193">
        <f t="shared" si="76"/>
        <v>15000</v>
      </c>
      <c r="P104" s="193">
        <f t="shared" si="76"/>
        <v>0</v>
      </c>
      <c r="Q104" s="193">
        <f t="shared" si="76"/>
        <v>0</v>
      </c>
      <c r="R104" s="193">
        <f t="shared" si="76"/>
        <v>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687" t="s">
        <v>363</v>
      </c>
      <c r="B106" s="687"/>
      <c r="C106" s="172" t="s">
        <v>3</v>
      </c>
      <c r="D106" s="173"/>
      <c r="E106" s="173">
        <f>0.005*Eeldused_müük!E12</f>
        <v>1194.7850000000001</v>
      </c>
      <c r="F106" s="173">
        <f>0.005*Eeldused_müük!F12</f>
        <v>1194.7850000000001</v>
      </c>
      <c r="G106" s="173">
        <f>0.005*Eeldused_müük!G12</f>
        <v>1155.8700000000001</v>
      </c>
      <c r="H106" s="173">
        <f>0.005*Eeldused_müük!H12</f>
        <v>1128.4649999999999</v>
      </c>
      <c r="I106" s="173">
        <f>0.005*Eeldused_müük!I12</f>
        <v>1110.085</v>
      </c>
      <c r="J106" s="173">
        <f>0.005*Eeldused_müük!J12</f>
        <v>1091.96</v>
      </c>
      <c r="K106" s="173">
        <f>0.005*Eeldused_müük!K12</f>
        <v>1073.74</v>
      </c>
      <c r="L106" s="173">
        <f>0.005*Eeldused_müük!L12</f>
        <v>1044.95</v>
      </c>
      <c r="M106" s="173">
        <f>0.005*Eeldused_müük!M12</f>
        <v>1017.3100000000001</v>
      </c>
      <c r="N106" s="173">
        <f>0.005*Eeldused_müük!N12</f>
        <v>983.59500000000003</v>
      </c>
      <c r="O106" s="173">
        <f>0.005*Eeldused_müük!O12</f>
        <v>965.81000000000006</v>
      </c>
      <c r="P106" s="173">
        <f>0.005*Eeldused_müük!P12</f>
        <v>965.81000000000006</v>
      </c>
      <c r="Q106" s="173">
        <f>0.005*Eeldused_müük!S12</f>
        <v>965.81000000000006</v>
      </c>
      <c r="R106" s="173">
        <f>0.005*Eeldused_müük!T12</f>
        <v>0</v>
      </c>
      <c r="S106" s="188"/>
      <c r="T106" s="188"/>
      <c r="U106" s="189"/>
    </row>
    <row r="107" spans="1:21" ht="16.5" customHeight="1" x14ac:dyDescent="0.35">
      <c r="A107" s="687" t="s">
        <v>364</v>
      </c>
      <c r="B107" s="687"/>
      <c r="C107" s="172" t="s">
        <v>3</v>
      </c>
      <c r="D107" s="173"/>
      <c r="E107" s="173">
        <f>Eeldused_müük!E13*Eeldused_müük!E9</f>
        <v>0</v>
      </c>
      <c r="F107" s="173">
        <f>Eeldused_müük!F13*Eeldused_müük!F9</f>
        <v>0</v>
      </c>
      <c r="G107" s="173">
        <f>Eeldused_müük!G13*Eeldused_müük!G9</f>
        <v>2381.598</v>
      </c>
      <c r="H107" s="173">
        <f>Eeldused_müük!H13*Eeldused_müük!H9</f>
        <v>1677.1859999999999</v>
      </c>
      <c r="I107" s="173">
        <f>Eeldused_müük!I13*Eeldused_müük!I9</f>
        <v>1124.856</v>
      </c>
      <c r="J107" s="173">
        <f>Eeldused_müük!J13*Eeldused_müük!J9</f>
        <v>1109.25</v>
      </c>
      <c r="K107" s="173">
        <f>Eeldused_müük!K13*Eeldused_müük!K9</f>
        <v>1115.0640000000001</v>
      </c>
      <c r="L107" s="173">
        <f>Eeldused_müük!L13*Eeldused_müük!L9</f>
        <v>1761.9479999999999</v>
      </c>
      <c r="M107" s="173">
        <f>Eeldused_müük!M13*Eeldused_müük!M9</f>
        <v>1691.568</v>
      </c>
      <c r="N107" s="173">
        <f>Eeldused_müük!N13*Eeldused_müük!N9</f>
        <v>2063.3580000000002</v>
      </c>
      <c r="O107" s="173">
        <f>Eeldused_müük!O13*Eeldused_müük!O9</f>
        <v>1088.442</v>
      </c>
      <c r="P107" s="173">
        <f>Eeldused_müük!P13*Eeldused_müük!P9</f>
        <v>0</v>
      </c>
      <c r="Q107" s="173">
        <f>Eeldused_müük!S13*Eeldused_müük!S9</f>
        <v>0</v>
      </c>
      <c r="R107" s="173">
        <f>Eeldused_müük!T13*Eeldused_müük!T9</f>
        <v>0</v>
      </c>
      <c r="S107" s="188"/>
      <c r="T107" s="188"/>
      <c r="U107" s="189"/>
    </row>
    <row r="108" spans="1:21" ht="16.5" customHeight="1" x14ac:dyDescent="0.35">
      <c r="A108" s="687" t="s">
        <v>365</v>
      </c>
      <c r="B108" s="687"/>
      <c r="C108" s="172" t="s">
        <v>3</v>
      </c>
      <c r="D108" s="173"/>
      <c r="E108" s="173"/>
      <c r="F108" s="173">
        <f>800*4/12</f>
        <v>266.66666666666669</v>
      </c>
      <c r="G108" s="173">
        <v>800</v>
      </c>
      <c r="H108" s="173">
        <f t="shared" ref="H108:R108" si="77">G108</f>
        <v>800</v>
      </c>
      <c r="I108" s="173">
        <f t="shared" si="77"/>
        <v>800</v>
      </c>
      <c r="J108" s="173">
        <f t="shared" si="77"/>
        <v>800</v>
      </c>
      <c r="K108" s="173">
        <f t="shared" si="77"/>
        <v>800</v>
      </c>
      <c r="L108" s="173">
        <f t="shared" si="77"/>
        <v>800</v>
      </c>
      <c r="M108" s="173">
        <f t="shared" si="77"/>
        <v>800</v>
      </c>
      <c r="N108" s="173">
        <f t="shared" si="77"/>
        <v>800</v>
      </c>
      <c r="O108" s="173">
        <f t="shared" si="77"/>
        <v>800</v>
      </c>
      <c r="P108" s="173">
        <f t="shared" si="77"/>
        <v>800</v>
      </c>
      <c r="Q108" s="173">
        <f t="shared" si="77"/>
        <v>800</v>
      </c>
      <c r="R108" s="173">
        <f t="shared" si="77"/>
        <v>800</v>
      </c>
      <c r="S108" s="188"/>
      <c r="T108" s="188"/>
      <c r="U108" s="189"/>
    </row>
    <row r="109" spans="1:21" ht="16.5" customHeight="1" x14ac:dyDescent="0.35">
      <c r="A109" s="687" t="s">
        <v>366</v>
      </c>
      <c r="B109" s="687"/>
      <c r="C109" s="172" t="s">
        <v>3</v>
      </c>
      <c r="D109" s="173"/>
      <c r="E109" s="173"/>
      <c r="F109" s="173">
        <f>3500*4/12</f>
        <v>1166.6666666666667</v>
      </c>
      <c r="G109" s="173">
        <v>3500</v>
      </c>
      <c r="H109" s="173">
        <f t="shared" ref="H109:R109" si="78">G109</f>
        <v>3500</v>
      </c>
      <c r="I109" s="173">
        <f t="shared" si="78"/>
        <v>3500</v>
      </c>
      <c r="J109" s="173">
        <f t="shared" si="78"/>
        <v>3500</v>
      </c>
      <c r="K109" s="173">
        <f t="shared" si="78"/>
        <v>3500</v>
      </c>
      <c r="L109" s="173">
        <f t="shared" si="78"/>
        <v>3500</v>
      </c>
      <c r="M109" s="173">
        <f t="shared" si="78"/>
        <v>3500</v>
      </c>
      <c r="N109" s="173">
        <f t="shared" si="78"/>
        <v>3500</v>
      </c>
      <c r="O109" s="173">
        <f t="shared" si="78"/>
        <v>3500</v>
      </c>
      <c r="P109" s="173">
        <f t="shared" si="78"/>
        <v>3500</v>
      </c>
      <c r="Q109" s="173">
        <f t="shared" si="78"/>
        <v>3500</v>
      </c>
      <c r="R109" s="173">
        <f t="shared" si="78"/>
        <v>3500</v>
      </c>
      <c r="S109" s="188"/>
      <c r="T109" s="188"/>
      <c r="U109" s="189"/>
    </row>
    <row r="110" spans="1:21" ht="16.5" hidden="1" customHeight="1" x14ac:dyDescent="0.35">
      <c r="A110" s="687"/>
      <c r="B110" s="687"/>
      <c r="C110" s="172" t="s">
        <v>3</v>
      </c>
      <c r="D110" s="173"/>
      <c r="E110" s="173"/>
      <c r="F110" s="173"/>
      <c r="G110" s="173"/>
      <c r="H110" s="173"/>
      <c r="I110" s="173"/>
      <c r="J110" s="173"/>
      <c r="K110" s="173"/>
      <c r="L110" s="173"/>
      <c r="M110" s="173"/>
      <c r="N110" s="173"/>
      <c r="O110" s="173"/>
      <c r="P110" s="173"/>
      <c r="Q110" s="173"/>
      <c r="R110" s="173"/>
      <c r="S110" s="188"/>
      <c r="T110" s="188"/>
      <c r="U110" s="189"/>
    </row>
    <row r="111" spans="1:21" ht="16.5" customHeight="1" x14ac:dyDescent="0.35">
      <c r="A111" s="687" t="s">
        <v>367</v>
      </c>
      <c r="B111" s="687"/>
      <c r="C111" s="172" t="s">
        <v>3</v>
      </c>
      <c r="D111" s="173"/>
      <c r="E111" s="173"/>
      <c r="F111" s="173"/>
      <c r="G111" s="173"/>
      <c r="H111" s="173"/>
      <c r="I111" s="173"/>
      <c r="J111" s="173"/>
      <c r="K111" s="173"/>
      <c r="L111" s="173"/>
      <c r="M111" s="173"/>
      <c r="N111" s="173"/>
      <c r="O111" s="173"/>
      <c r="P111" s="173">
        <f>18000</f>
        <v>18000</v>
      </c>
      <c r="Q111" s="173"/>
      <c r="R111" s="173"/>
      <c r="S111" s="188"/>
      <c r="T111" s="188"/>
      <c r="U111" s="189"/>
    </row>
    <row r="112" spans="1:21" ht="16.5" customHeight="1" x14ac:dyDescent="0.35">
      <c r="A112" s="686"/>
      <c r="B112" s="686"/>
      <c r="C112" s="172" t="s">
        <v>3</v>
      </c>
      <c r="D112" s="173"/>
      <c r="E112" s="173"/>
      <c r="F112" s="173"/>
      <c r="G112" s="173"/>
      <c r="H112" s="173"/>
      <c r="I112" s="173"/>
      <c r="J112" s="173"/>
      <c r="K112" s="173"/>
      <c r="L112" s="173"/>
      <c r="M112" s="173"/>
      <c r="N112" s="173"/>
      <c r="O112" s="173"/>
      <c r="P112" s="173"/>
      <c r="Q112" s="173"/>
      <c r="R112" s="173"/>
      <c r="S112" s="188"/>
      <c r="T112" s="188"/>
      <c r="U112" s="189"/>
    </row>
    <row r="113" spans="1:21" ht="16.5" hidden="1" customHeight="1" outlineLevel="1" x14ac:dyDescent="0.35">
      <c r="A113" s="687" t="s">
        <v>33</v>
      </c>
      <c r="B113" s="687"/>
      <c r="C113" s="172"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687" t="s">
        <v>34</v>
      </c>
      <c r="B114" s="687"/>
      <c r="C114" s="172"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687" t="s">
        <v>35</v>
      </c>
      <c r="B115" s="687"/>
      <c r="C115" s="172"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688" t="s">
        <v>29</v>
      </c>
      <c r="B116" s="689"/>
      <c r="C116" s="182" t="s">
        <v>3</v>
      </c>
      <c r="D116" s="193">
        <f t="shared" ref="D116:R116" si="79">SUM(D106:D115)</f>
        <v>0</v>
      </c>
      <c r="E116" s="193">
        <f t="shared" ref="E116:L116" si="80">SUM(E106:E115)</f>
        <v>1194.7850000000001</v>
      </c>
      <c r="F116" s="193">
        <f t="shared" si="80"/>
        <v>2628.1183333333338</v>
      </c>
      <c r="G116" s="193">
        <f t="shared" si="80"/>
        <v>7837.4679999999998</v>
      </c>
      <c r="H116" s="193">
        <f t="shared" si="80"/>
        <v>7105.6509999999998</v>
      </c>
      <c r="I116" s="193">
        <f t="shared" si="80"/>
        <v>6534.9409999999998</v>
      </c>
      <c r="J116" s="193">
        <f t="shared" si="80"/>
        <v>6501.21</v>
      </c>
      <c r="K116" s="193">
        <f t="shared" si="80"/>
        <v>6488.8040000000001</v>
      </c>
      <c r="L116" s="193">
        <f t="shared" si="80"/>
        <v>7106.8980000000001</v>
      </c>
      <c r="M116" s="193">
        <f t="shared" si="79"/>
        <v>7008.8780000000006</v>
      </c>
      <c r="N116" s="193">
        <f t="shared" si="79"/>
        <v>7346.9530000000004</v>
      </c>
      <c r="O116" s="193">
        <f t="shared" si="79"/>
        <v>6354.2520000000004</v>
      </c>
      <c r="P116" s="193">
        <f t="shared" si="79"/>
        <v>23265.809999999998</v>
      </c>
      <c r="Q116" s="193">
        <f t="shared" si="79"/>
        <v>5265.8099999999995</v>
      </c>
      <c r="R116" s="193">
        <f t="shared" si="79"/>
        <v>4300</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20.25" customHeight="1" x14ac:dyDescent="0.35">
      <c r="A118" s="684" t="s">
        <v>30</v>
      </c>
      <c r="B118" s="685"/>
      <c r="C118" s="199" t="s">
        <v>3</v>
      </c>
      <c r="D118" s="183">
        <f t="shared" ref="D118:R118" si="81">D80+D92+D104+D116</f>
        <v>0</v>
      </c>
      <c r="E118" s="183">
        <f t="shared" ref="E118:L118" si="82">E80+E92+E104+E116</f>
        <v>25728.785</v>
      </c>
      <c r="F118" s="183">
        <f t="shared" si="82"/>
        <v>73971.718333333338</v>
      </c>
      <c r="G118" s="183">
        <f t="shared" si="82"/>
        <v>79181.067999999999</v>
      </c>
      <c r="H118" s="183">
        <f t="shared" si="82"/>
        <v>78449.251000000004</v>
      </c>
      <c r="I118" s="183">
        <f t="shared" si="82"/>
        <v>77878.541000000012</v>
      </c>
      <c r="J118" s="183">
        <f t="shared" si="82"/>
        <v>77844.810000000012</v>
      </c>
      <c r="K118" s="183">
        <f t="shared" si="82"/>
        <v>77832.40400000001</v>
      </c>
      <c r="L118" s="183">
        <f t="shared" si="82"/>
        <v>78450.498000000007</v>
      </c>
      <c r="M118" s="183">
        <f t="shared" si="81"/>
        <v>78352.478000000003</v>
      </c>
      <c r="N118" s="183">
        <f t="shared" si="81"/>
        <v>78690.553</v>
      </c>
      <c r="O118" s="183">
        <f t="shared" si="81"/>
        <v>77697.852000000014</v>
      </c>
      <c r="P118" s="183">
        <f t="shared" si="81"/>
        <v>79609.41</v>
      </c>
      <c r="Q118" s="183">
        <f t="shared" si="81"/>
        <v>33355.410000000003</v>
      </c>
      <c r="R118" s="183">
        <f t="shared" si="81"/>
        <v>32389.600000000002</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1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682" t="s">
        <v>31</v>
      </c>
      <c r="B121" s="683"/>
      <c r="C121" s="205" t="s">
        <v>3</v>
      </c>
      <c r="D121" s="206">
        <f t="shared" ref="D121:R121" si="83">D53-D118</f>
        <v>0</v>
      </c>
      <c r="E121" s="206">
        <f t="shared" si="83"/>
        <v>-25728.785</v>
      </c>
      <c r="F121" s="206">
        <f t="shared" si="83"/>
        <v>-73971.718333333338</v>
      </c>
      <c r="G121" s="206">
        <f t="shared" si="83"/>
        <v>76478.932000000001</v>
      </c>
      <c r="H121" s="206">
        <f t="shared" si="83"/>
        <v>31170.748999999996</v>
      </c>
      <c r="I121" s="206">
        <f t="shared" si="83"/>
        <v>-4358.541000000012</v>
      </c>
      <c r="J121" s="206">
        <f t="shared" si="83"/>
        <v>-5344.8100000000122</v>
      </c>
      <c r="K121" s="206">
        <f t="shared" si="83"/>
        <v>-4952.4040000000095</v>
      </c>
      <c r="L121" s="206">
        <f t="shared" si="83"/>
        <v>36709.501999999993</v>
      </c>
      <c r="M121" s="206">
        <f t="shared" si="83"/>
        <v>32207.521999999997</v>
      </c>
      <c r="N121" s="206">
        <f t="shared" si="83"/>
        <v>56169.447</v>
      </c>
      <c r="O121" s="206">
        <f t="shared" si="83"/>
        <v>-6557.8520000000135</v>
      </c>
      <c r="P121" s="206">
        <f t="shared" si="83"/>
        <v>-79609.41</v>
      </c>
      <c r="Q121" s="206">
        <f t="shared" si="83"/>
        <v>-33355.410000000003</v>
      </c>
      <c r="R121" s="206">
        <f t="shared" si="83"/>
        <v>-32389.600000000002</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ht="16.5" customHeight="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6.5" customHeight="1" x14ac:dyDescent="0.35">
      <c r="A124" s="682" t="s">
        <v>171</v>
      </c>
      <c r="B124" s="683"/>
      <c r="C124" s="205" t="s">
        <v>3</v>
      </c>
      <c r="D124" s="206">
        <f>D121</f>
        <v>0</v>
      </c>
      <c r="E124" s="206">
        <f>D124+E121</f>
        <v>-25728.785</v>
      </c>
      <c r="F124" s="206">
        <f t="shared" ref="F124:P124" si="84">E124+F121</f>
        <v>-99700.503333333341</v>
      </c>
      <c r="G124" s="206">
        <f t="shared" si="84"/>
        <v>-23221.571333333341</v>
      </c>
      <c r="H124" s="206">
        <f t="shared" si="84"/>
        <v>7949.1776666666556</v>
      </c>
      <c r="I124" s="206">
        <f t="shared" si="84"/>
        <v>3590.6366666666436</v>
      </c>
      <c r="J124" s="206">
        <f t="shared" si="84"/>
        <v>-1754.1733333333686</v>
      </c>
      <c r="K124" s="206">
        <f t="shared" si="84"/>
        <v>-6706.5773333333782</v>
      </c>
      <c r="L124" s="206">
        <f t="shared" si="84"/>
        <v>30002.924666666615</v>
      </c>
      <c r="M124" s="206">
        <f t="shared" si="84"/>
        <v>62210.446666666612</v>
      </c>
      <c r="N124" s="206">
        <f t="shared" si="84"/>
        <v>118379.89366666661</v>
      </c>
      <c r="O124" s="206">
        <f t="shared" si="84"/>
        <v>111822.0416666666</v>
      </c>
      <c r="P124" s="206">
        <f t="shared" si="84"/>
        <v>32212.631666666595</v>
      </c>
      <c r="Q124" s="206">
        <f t="shared" ref="Q124" si="85">P124+Q121</f>
        <v>-1142.7783333334082</v>
      </c>
      <c r="R124" s="206">
        <f t="shared" ref="R124" si="86">Q124+R121</f>
        <v>-33532.378333333414</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ht="16.5" customHeight="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sheetProtection insertColumns="0" insertRows="0" deleteColumns="0" deleteRows="0"/>
  <mergeCells count="36">
    <mergeCell ref="A110:B110"/>
    <mergeCell ref="A111:B111"/>
    <mergeCell ref="A82:A91"/>
    <mergeCell ref="A80:B80"/>
    <mergeCell ref="A92:B92"/>
    <mergeCell ref="A104:B104"/>
    <mergeCell ref="A106:B106"/>
    <mergeCell ref="A107:B107"/>
    <mergeCell ref="A108:B108"/>
    <mergeCell ref="A109:B109"/>
    <mergeCell ref="A94:A103"/>
    <mergeCell ref="A124:B124"/>
    <mergeCell ref="A118:B118"/>
    <mergeCell ref="A121:B121"/>
    <mergeCell ref="A112:B112"/>
    <mergeCell ref="A113:B113"/>
    <mergeCell ref="A114:B114"/>
    <mergeCell ref="A115:B115"/>
    <mergeCell ref="A116:B116"/>
    <mergeCell ref="A7:A9"/>
    <mergeCell ref="A11:A13"/>
    <mergeCell ref="A15:A17"/>
    <mergeCell ref="A19:A21"/>
    <mergeCell ref="A23:A25"/>
    <mergeCell ref="A51:B51"/>
    <mergeCell ref="A53:B53"/>
    <mergeCell ref="A58:A79"/>
    <mergeCell ref="A27:A29"/>
    <mergeCell ref="A47:B47"/>
    <mergeCell ref="A48:B48"/>
    <mergeCell ref="A49:B49"/>
    <mergeCell ref="A50:B50"/>
    <mergeCell ref="A31:A33"/>
    <mergeCell ref="A35:A37"/>
    <mergeCell ref="A39:A41"/>
    <mergeCell ref="A43:A45"/>
  </mergeCells>
  <phoneticPr fontId="71" type="noConversion"/>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workbookViewId="0"/>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9" customFormat="1" ht="22.5" customHeight="1" x14ac:dyDescent="0.35">
      <c r="A1" s="207" t="s">
        <v>69</v>
      </c>
      <c r="B1" s="208"/>
    </row>
    <row r="2" spans="1:20" s="209" customFormat="1" ht="7.5" customHeight="1" x14ac:dyDescent="0.35">
      <c r="A2" s="210"/>
      <c r="B2" s="211"/>
      <c r="C2" s="212"/>
      <c r="D2" s="213"/>
      <c r="E2" s="213"/>
      <c r="F2" s="213"/>
      <c r="G2" s="213"/>
      <c r="H2" s="213"/>
      <c r="I2" s="213"/>
      <c r="J2" s="213"/>
      <c r="K2" s="213"/>
      <c r="L2" s="213"/>
      <c r="M2" s="213"/>
      <c r="N2" s="213"/>
      <c r="O2" s="213"/>
      <c r="P2" s="213"/>
      <c r="Q2" s="213"/>
      <c r="R2" s="213"/>
      <c r="S2" s="212"/>
      <c r="T2" s="212"/>
    </row>
    <row r="3" spans="1:20" s="209" customFormat="1" ht="18" customHeight="1" x14ac:dyDescent="0.35">
      <c r="A3" s="214"/>
      <c r="B3" s="215"/>
      <c r="C3" s="216"/>
      <c r="D3" s="217">
        <f>'2. Tulud-kulud projektiga'!D3</f>
        <v>2024</v>
      </c>
      <c r="E3" s="217">
        <f>D3+1</f>
        <v>2025</v>
      </c>
      <c r="F3" s="217">
        <f t="shared" ref="F3:P3" si="0">E3+1</f>
        <v>2026</v>
      </c>
      <c r="G3" s="217">
        <f t="shared" si="0"/>
        <v>2027</v>
      </c>
      <c r="H3" s="217">
        <f t="shared" si="0"/>
        <v>2028</v>
      </c>
      <c r="I3" s="217">
        <f t="shared" si="0"/>
        <v>2029</v>
      </c>
      <c r="J3" s="217">
        <f t="shared" si="0"/>
        <v>2030</v>
      </c>
      <c r="K3" s="217">
        <f t="shared" si="0"/>
        <v>2031</v>
      </c>
      <c r="L3" s="217">
        <f t="shared" si="0"/>
        <v>2032</v>
      </c>
      <c r="M3" s="217">
        <f t="shared" si="0"/>
        <v>2033</v>
      </c>
      <c r="N3" s="217">
        <f t="shared" si="0"/>
        <v>2034</v>
      </c>
      <c r="O3" s="217">
        <f t="shared" si="0"/>
        <v>2035</v>
      </c>
      <c r="P3" s="217">
        <f t="shared" si="0"/>
        <v>2036</v>
      </c>
      <c r="Q3" s="217">
        <f t="shared" ref="Q3" si="1">P3+1</f>
        <v>2037</v>
      </c>
      <c r="R3" s="217">
        <f t="shared" ref="R3" si="2">Q3+1</f>
        <v>2038</v>
      </c>
      <c r="S3" s="212"/>
      <c r="T3" s="212"/>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32</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693" t="str">
        <f>'2. Tulud-kulud projektiga'!A7:A9</f>
        <v>Maa müük</v>
      </c>
      <c r="B7" s="218" t="str">
        <f>'2. Tulud-kulud projektiga'!B7</f>
        <v>Ühik 1</v>
      </c>
      <c r="C7" s="219" t="str">
        <f>'2. Tulud-kulud projektiga'!C7</f>
        <v>m2</v>
      </c>
      <c r="D7" s="173"/>
      <c r="E7" s="173"/>
      <c r="F7" s="173"/>
      <c r="G7" s="173"/>
      <c r="H7" s="173"/>
      <c r="I7" s="173"/>
      <c r="J7" s="173"/>
      <c r="K7" s="173"/>
      <c r="L7" s="173"/>
      <c r="M7" s="173"/>
      <c r="N7" s="173"/>
      <c r="O7" s="173"/>
      <c r="P7" s="173"/>
      <c r="Q7" s="173"/>
      <c r="R7" s="173"/>
      <c r="S7" s="163"/>
      <c r="T7" s="163"/>
    </row>
    <row r="8" spans="1:20" ht="15.75" customHeight="1" x14ac:dyDescent="0.35">
      <c r="A8" s="693"/>
      <c r="B8" s="218" t="s">
        <v>0</v>
      </c>
      <c r="C8" s="219" t="s">
        <v>3</v>
      </c>
      <c r="D8" s="173"/>
      <c r="E8" s="173"/>
      <c r="F8" s="173"/>
      <c r="G8" s="173"/>
      <c r="H8" s="173"/>
      <c r="I8" s="173"/>
      <c r="J8" s="173"/>
      <c r="K8" s="173"/>
      <c r="L8" s="173"/>
      <c r="M8" s="173"/>
      <c r="N8" s="173"/>
      <c r="O8" s="173"/>
      <c r="P8" s="173"/>
      <c r="Q8" s="173"/>
      <c r="R8" s="173"/>
      <c r="S8" s="163"/>
      <c r="T8" s="163"/>
    </row>
    <row r="9" spans="1:20" ht="15.75" customHeight="1" x14ac:dyDescent="0.35">
      <c r="A9" s="693"/>
      <c r="B9" s="221" t="s">
        <v>1</v>
      </c>
      <c r="C9" s="222" t="s">
        <v>3</v>
      </c>
      <c r="D9" s="220">
        <f t="shared" ref="D9:R9" si="3">D7*D8</f>
        <v>0</v>
      </c>
      <c r="E9" s="220">
        <f t="shared" si="3"/>
        <v>0</v>
      </c>
      <c r="F9" s="220">
        <f t="shared" si="3"/>
        <v>0</v>
      </c>
      <c r="G9" s="220">
        <f t="shared" si="3"/>
        <v>0</v>
      </c>
      <c r="H9" s="220">
        <f t="shared" si="3"/>
        <v>0</v>
      </c>
      <c r="I9" s="220">
        <f t="shared" si="3"/>
        <v>0</v>
      </c>
      <c r="J9" s="220">
        <f t="shared" si="3"/>
        <v>0</v>
      </c>
      <c r="K9" s="220">
        <f t="shared" si="3"/>
        <v>0</v>
      </c>
      <c r="L9" s="220">
        <f t="shared" si="3"/>
        <v>0</v>
      </c>
      <c r="M9" s="220">
        <f t="shared" si="3"/>
        <v>0</v>
      </c>
      <c r="N9" s="220">
        <f t="shared" si="3"/>
        <v>0</v>
      </c>
      <c r="O9" s="220">
        <f t="shared" si="3"/>
        <v>0</v>
      </c>
      <c r="P9" s="220">
        <f t="shared" si="3"/>
        <v>0</v>
      </c>
      <c r="Q9" s="220">
        <f t="shared" ref="Q9" si="4">Q7*Q8</f>
        <v>0</v>
      </c>
      <c r="R9" s="220">
        <f t="shared" si="3"/>
        <v>0</v>
      </c>
      <c r="S9" s="163"/>
      <c r="T9" s="163"/>
    </row>
    <row r="10" spans="1:20" ht="5.25" customHeight="1" x14ac:dyDescent="0.35">
      <c r="A10" s="223"/>
      <c r="B10" s="178"/>
      <c r="C10" s="179"/>
      <c r="D10" s="179"/>
      <c r="E10" s="179"/>
      <c r="F10" s="179"/>
      <c r="G10" s="179"/>
      <c r="H10" s="179"/>
      <c r="I10" s="179"/>
      <c r="J10" s="179"/>
      <c r="K10" s="179"/>
      <c r="L10" s="179"/>
      <c r="M10" s="179"/>
      <c r="N10" s="179"/>
      <c r="O10" s="179"/>
      <c r="P10" s="179"/>
      <c r="Q10" s="179"/>
      <c r="R10" s="180"/>
      <c r="S10" s="163"/>
      <c r="T10" s="163"/>
    </row>
    <row r="11" spans="1:20" x14ac:dyDescent="0.35">
      <c r="A11" s="693">
        <f>'2. Tulud-kulud projektiga'!A11:A13</f>
        <v>0</v>
      </c>
      <c r="B11" s="218" t="str">
        <f>'2. Tulud-kulud projektiga'!B11</f>
        <v>Kuu</v>
      </c>
      <c r="C11" s="219" t="str">
        <f>'2. Tulud-kulud projektiga'!C11</f>
        <v>m2</v>
      </c>
      <c r="D11" s="173"/>
      <c r="E11" s="173"/>
      <c r="F11" s="173"/>
      <c r="G11" s="173"/>
      <c r="H11" s="173"/>
      <c r="I11" s="173"/>
      <c r="J11" s="173"/>
      <c r="K11" s="173"/>
      <c r="L11" s="173"/>
      <c r="M11" s="173"/>
      <c r="N11" s="173"/>
      <c r="O11" s="173"/>
      <c r="P11" s="173"/>
      <c r="Q11" s="173"/>
      <c r="R11" s="173"/>
      <c r="S11" s="163"/>
      <c r="T11" s="163"/>
    </row>
    <row r="12" spans="1:20" x14ac:dyDescent="0.35">
      <c r="A12" s="693"/>
      <c r="B12" s="218" t="s">
        <v>0</v>
      </c>
      <c r="C12" s="219" t="s">
        <v>3</v>
      </c>
      <c r="D12" s="173"/>
      <c r="E12" s="173"/>
      <c r="F12" s="173"/>
      <c r="G12" s="173"/>
      <c r="H12" s="173"/>
      <c r="I12" s="173"/>
      <c r="J12" s="173"/>
      <c r="K12" s="173"/>
      <c r="L12" s="173"/>
      <c r="M12" s="173"/>
      <c r="N12" s="173"/>
      <c r="O12" s="173"/>
      <c r="P12" s="173"/>
      <c r="Q12" s="173"/>
      <c r="R12" s="173"/>
      <c r="S12" s="163"/>
      <c r="T12" s="163"/>
    </row>
    <row r="13" spans="1:20" x14ac:dyDescent="0.35">
      <c r="A13" s="693"/>
      <c r="B13" s="221" t="s">
        <v>1</v>
      </c>
      <c r="C13" s="222" t="s">
        <v>3</v>
      </c>
      <c r="D13" s="220">
        <f t="shared" ref="D13:R13" si="5">D11*D12</f>
        <v>0</v>
      </c>
      <c r="E13" s="220">
        <f t="shared" si="5"/>
        <v>0</v>
      </c>
      <c r="F13" s="220">
        <f t="shared" si="5"/>
        <v>0</v>
      </c>
      <c r="G13" s="220">
        <f t="shared" si="5"/>
        <v>0</v>
      </c>
      <c r="H13" s="220">
        <f t="shared" si="5"/>
        <v>0</v>
      </c>
      <c r="I13" s="220">
        <f t="shared" si="5"/>
        <v>0</v>
      </c>
      <c r="J13" s="220">
        <f t="shared" si="5"/>
        <v>0</v>
      </c>
      <c r="K13" s="220">
        <f t="shared" si="5"/>
        <v>0</v>
      </c>
      <c r="L13" s="220">
        <f t="shared" si="5"/>
        <v>0</v>
      </c>
      <c r="M13" s="220">
        <f t="shared" si="5"/>
        <v>0</v>
      </c>
      <c r="N13" s="220">
        <f t="shared" si="5"/>
        <v>0</v>
      </c>
      <c r="O13" s="220">
        <f t="shared" si="5"/>
        <v>0</v>
      </c>
      <c r="P13" s="220">
        <f t="shared" si="5"/>
        <v>0</v>
      </c>
      <c r="Q13" s="220">
        <f t="shared" ref="Q13" si="6">Q11*Q12</f>
        <v>0</v>
      </c>
      <c r="R13" s="220">
        <f t="shared" si="5"/>
        <v>0</v>
      </c>
      <c r="S13" s="163"/>
      <c r="T13" s="163"/>
    </row>
    <row r="14" spans="1:20" ht="5.25" customHeight="1" x14ac:dyDescent="0.35">
      <c r="A14" s="223"/>
      <c r="B14" s="178"/>
      <c r="C14" s="179"/>
      <c r="D14" s="179"/>
      <c r="E14" s="179"/>
      <c r="F14" s="179"/>
      <c r="G14" s="179"/>
      <c r="H14" s="179"/>
      <c r="I14" s="179"/>
      <c r="J14" s="179"/>
      <c r="K14" s="179"/>
      <c r="L14" s="179"/>
      <c r="M14" s="179"/>
      <c r="N14" s="179"/>
      <c r="O14" s="179"/>
      <c r="P14" s="179"/>
      <c r="Q14" s="179"/>
      <c r="R14" s="180"/>
      <c r="S14" s="163"/>
      <c r="T14" s="163"/>
    </row>
    <row r="15" spans="1:20" x14ac:dyDescent="0.35">
      <c r="A15" s="693">
        <f>'2. Tulud-kulud projektiga'!A15:A17</f>
        <v>0</v>
      </c>
      <c r="B15" s="218" t="str">
        <f>'2. Tulud-kulud projektiga'!B15</f>
        <v>Ühik 3</v>
      </c>
      <c r="C15" s="219" t="str">
        <f>'2. Tulud-kulud projektiga'!C15</f>
        <v>m2</v>
      </c>
      <c r="D15" s="173"/>
      <c r="E15" s="173"/>
      <c r="F15" s="173"/>
      <c r="G15" s="173"/>
      <c r="H15" s="173"/>
      <c r="I15" s="173"/>
      <c r="J15" s="173"/>
      <c r="K15" s="173"/>
      <c r="L15" s="173"/>
      <c r="M15" s="173"/>
      <c r="N15" s="173"/>
      <c r="O15" s="173"/>
      <c r="P15" s="173"/>
      <c r="Q15" s="173"/>
      <c r="R15" s="173"/>
      <c r="S15" s="163"/>
      <c r="T15" s="163"/>
    </row>
    <row r="16" spans="1:20" x14ac:dyDescent="0.35">
      <c r="A16" s="693"/>
      <c r="B16" s="218" t="s">
        <v>0</v>
      </c>
      <c r="C16" s="219" t="s">
        <v>3</v>
      </c>
      <c r="D16" s="173"/>
      <c r="E16" s="173"/>
      <c r="F16" s="173"/>
      <c r="G16" s="173"/>
      <c r="H16" s="173"/>
      <c r="I16" s="173"/>
      <c r="J16" s="173"/>
      <c r="K16" s="173"/>
      <c r="L16" s="173"/>
      <c r="M16" s="173"/>
      <c r="N16" s="173"/>
      <c r="O16" s="173"/>
      <c r="P16" s="173"/>
      <c r="Q16" s="173"/>
      <c r="R16" s="173"/>
      <c r="S16" s="163"/>
      <c r="T16" s="163"/>
    </row>
    <row r="17" spans="1:20" x14ac:dyDescent="0.35">
      <c r="A17" s="693"/>
      <c r="B17" s="221" t="s">
        <v>1</v>
      </c>
      <c r="C17" s="222" t="s">
        <v>3</v>
      </c>
      <c r="D17" s="220">
        <f t="shared" ref="D17:R17" si="7">D15*D16</f>
        <v>0</v>
      </c>
      <c r="E17" s="220">
        <f t="shared" si="7"/>
        <v>0</v>
      </c>
      <c r="F17" s="220">
        <f t="shared" si="7"/>
        <v>0</v>
      </c>
      <c r="G17" s="220">
        <f t="shared" si="7"/>
        <v>0</v>
      </c>
      <c r="H17" s="220">
        <f t="shared" si="7"/>
        <v>0</v>
      </c>
      <c r="I17" s="220">
        <f t="shared" si="7"/>
        <v>0</v>
      </c>
      <c r="J17" s="220">
        <f t="shared" si="7"/>
        <v>0</v>
      </c>
      <c r="K17" s="220">
        <f t="shared" si="7"/>
        <v>0</v>
      </c>
      <c r="L17" s="220">
        <f t="shared" si="7"/>
        <v>0</v>
      </c>
      <c r="M17" s="220">
        <f t="shared" si="7"/>
        <v>0</v>
      </c>
      <c r="N17" s="220">
        <f t="shared" si="7"/>
        <v>0</v>
      </c>
      <c r="O17" s="220">
        <f t="shared" si="7"/>
        <v>0</v>
      </c>
      <c r="P17" s="220">
        <f t="shared" si="7"/>
        <v>0</v>
      </c>
      <c r="Q17" s="220">
        <f t="shared" ref="Q17" si="8">Q15*Q16</f>
        <v>0</v>
      </c>
      <c r="R17" s="220">
        <f t="shared" si="7"/>
        <v>0</v>
      </c>
      <c r="S17" s="163"/>
      <c r="T17" s="163"/>
    </row>
    <row r="18" spans="1:20" ht="5.25" customHeight="1" x14ac:dyDescent="0.35">
      <c r="A18" s="223"/>
      <c r="B18" s="178"/>
      <c r="C18" s="179"/>
      <c r="D18" s="179"/>
      <c r="E18" s="179"/>
      <c r="F18" s="179"/>
      <c r="G18" s="179"/>
      <c r="H18" s="179"/>
      <c r="I18" s="179"/>
      <c r="J18" s="179"/>
      <c r="K18" s="179"/>
      <c r="L18" s="179"/>
      <c r="M18" s="179"/>
      <c r="N18" s="179"/>
      <c r="O18" s="179"/>
      <c r="P18" s="179"/>
      <c r="Q18" s="179"/>
      <c r="R18" s="180"/>
      <c r="S18" s="163"/>
      <c r="T18" s="163"/>
    </row>
    <row r="19" spans="1:20" x14ac:dyDescent="0.35">
      <c r="A19" s="693">
        <f>'2. Tulud-kulud projektiga'!A19:A21</f>
        <v>0</v>
      </c>
      <c r="B19" s="218" t="str">
        <f>'2. Tulud-kulud projektiga'!B19</f>
        <v>Ühik 4</v>
      </c>
      <c r="C19" s="219" t="str">
        <f>'2. Tulud-kulud projektiga'!C19</f>
        <v>Kohta</v>
      </c>
      <c r="D19" s="173"/>
      <c r="E19" s="173"/>
      <c r="F19" s="173"/>
      <c r="G19" s="173"/>
      <c r="H19" s="173"/>
      <c r="I19" s="173"/>
      <c r="J19" s="173"/>
      <c r="K19" s="173"/>
      <c r="L19" s="173"/>
      <c r="M19" s="173"/>
      <c r="N19" s="173"/>
      <c r="O19" s="173"/>
      <c r="P19" s="173"/>
      <c r="Q19" s="173"/>
      <c r="R19" s="173"/>
      <c r="S19" s="163"/>
      <c r="T19" s="163"/>
    </row>
    <row r="20" spans="1:20" x14ac:dyDescent="0.35">
      <c r="A20" s="693"/>
      <c r="B20" s="218" t="s">
        <v>0</v>
      </c>
      <c r="C20" s="219" t="s">
        <v>3</v>
      </c>
      <c r="D20" s="173"/>
      <c r="E20" s="173"/>
      <c r="F20" s="173"/>
      <c r="G20" s="173"/>
      <c r="H20" s="173"/>
      <c r="I20" s="173"/>
      <c r="J20" s="173"/>
      <c r="K20" s="173"/>
      <c r="L20" s="173"/>
      <c r="M20" s="173"/>
      <c r="N20" s="173"/>
      <c r="O20" s="173"/>
      <c r="P20" s="173"/>
      <c r="Q20" s="173"/>
      <c r="R20" s="173"/>
      <c r="S20" s="163"/>
      <c r="T20" s="163"/>
    </row>
    <row r="21" spans="1:20" x14ac:dyDescent="0.35">
      <c r="A21" s="693"/>
      <c r="B21" s="221" t="s">
        <v>1</v>
      </c>
      <c r="C21" s="222" t="s">
        <v>3</v>
      </c>
      <c r="D21" s="220">
        <f t="shared" ref="D21:R21" si="9">D19*D20</f>
        <v>0</v>
      </c>
      <c r="E21" s="220">
        <f t="shared" si="9"/>
        <v>0</v>
      </c>
      <c r="F21" s="220">
        <f t="shared" si="9"/>
        <v>0</v>
      </c>
      <c r="G21" s="220">
        <f t="shared" si="9"/>
        <v>0</v>
      </c>
      <c r="H21" s="220">
        <f t="shared" si="9"/>
        <v>0</v>
      </c>
      <c r="I21" s="220">
        <f t="shared" si="9"/>
        <v>0</v>
      </c>
      <c r="J21" s="220">
        <f t="shared" si="9"/>
        <v>0</v>
      </c>
      <c r="K21" s="220">
        <f t="shared" si="9"/>
        <v>0</v>
      </c>
      <c r="L21" s="220">
        <f t="shared" si="9"/>
        <v>0</v>
      </c>
      <c r="M21" s="220">
        <f t="shared" si="9"/>
        <v>0</v>
      </c>
      <c r="N21" s="220">
        <f t="shared" si="9"/>
        <v>0</v>
      </c>
      <c r="O21" s="220">
        <f t="shared" si="9"/>
        <v>0</v>
      </c>
      <c r="P21" s="220">
        <f t="shared" si="9"/>
        <v>0</v>
      </c>
      <c r="Q21" s="220">
        <f t="shared" ref="Q21" si="10">Q19*Q20</f>
        <v>0</v>
      </c>
      <c r="R21" s="220">
        <f t="shared" si="9"/>
        <v>0</v>
      </c>
      <c r="S21" s="163"/>
      <c r="T21" s="163"/>
    </row>
    <row r="22" spans="1:20" ht="5.25" customHeight="1" x14ac:dyDescent="0.35">
      <c r="A22" s="223"/>
      <c r="B22" s="178"/>
      <c r="C22" s="179"/>
      <c r="D22" s="179"/>
      <c r="E22" s="179"/>
      <c r="F22" s="179"/>
      <c r="G22" s="179"/>
      <c r="H22" s="179"/>
      <c r="I22" s="179"/>
      <c r="J22" s="179"/>
      <c r="K22" s="179"/>
      <c r="L22" s="179"/>
      <c r="M22" s="179"/>
      <c r="N22" s="179"/>
      <c r="O22" s="179"/>
      <c r="P22" s="179"/>
      <c r="Q22" s="179"/>
      <c r="R22" s="180"/>
      <c r="S22" s="163"/>
      <c r="T22" s="163"/>
    </row>
    <row r="23" spans="1:20" x14ac:dyDescent="0.35">
      <c r="A23" s="693">
        <f>'2. Tulud-kulud projektiga'!A23:A25</f>
        <v>0</v>
      </c>
      <c r="B23" s="218" t="str">
        <f>'2. Tulud-kulud projektiga'!B23</f>
        <v>Ühik 5</v>
      </c>
      <c r="C23" s="219" t="str">
        <f>'2. Tulud-kulud projektiga'!C23</f>
        <v>m2</v>
      </c>
      <c r="D23" s="173"/>
      <c r="E23" s="173"/>
      <c r="F23" s="173"/>
      <c r="G23" s="173"/>
      <c r="H23" s="173"/>
      <c r="I23" s="173"/>
      <c r="J23" s="173"/>
      <c r="K23" s="173"/>
      <c r="L23" s="173"/>
      <c r="M23" s="173"/>
      <c r="N23" s="173"/>
      <c r="O23" s="173"/>
      <c r="P23" s="173"/>
      <c r="Q23" s="173"/>
      <c r="R23" s="173"/>
      <c r="S23" s="163"/>
      <c r="T23" s="163"/>
    </row>
    <row r="24" spans="1:20" x14ac:dyDescent="0.35">
      <c r="A24" s="693"/>
      <c r="B24" s="218" t="s">
        <v>0</v>
      </c>
      <c r="C24" s="219" t="s">
        <v>3</v>
      </c>
      <c r="D24" s="173"/>
      <c r="E24" s="173"/>
      <c r="F24" s="173"/>
      <c r="G24" s="173"/>
      <c r="H24" s="173"/>
      <c r="I24" s="173"/>
      <c r="J24" s="173"/>
      <c r="K24" s="173"/>
      <c r="L24" s="173"/>
      <c r="M24" s="173"/>
      <c r="N24" s="173"/>
      <c r="O24" s="173"/>
      <c r="P24" s="173"/>
      <c r="Q24" s="173"/>
      <c r="R24" s="173"/>
      <c r="S24" s="163"/>
      <c r="T24" s="163"/>
    </row>
    <row r="25" spans="1:20" x14ac:dyDescent="0.35">
      <c r="A25" s="693"/>
      <c r="B25" s="221" t="s">
        <v>1</v>
      </c>
      <c r="C25" s="222" t="s">
        <v>3</v>
      </c>
      <c r="D25" s="220">
        <f t="shared" ref="D25:R25" si="11">D23*D24</f>
        <v>0</v>
      </c>
      <c r="E25" s="220">
        <f t="shared" si="11"/>
        <v>0</v>
      </c>
      <c r="F25" s="220">
        <f t="shared" si="11"/>
        <v>0</v>
      </c>
      <c r="G25" s="220">
        <f t="shared" si="11"/>
        <v>0</v>
      </c>
      <c r="H25" s="220">
        <f t="shared" si="11"/>
        <v>0</v>
      </c>
      <c r="I25" s="220">
        <f t="shared" si="11"/>
        <v>0</v>
      </c>
      <c r="J25" s="220">
        <f t="shared" si="11"/>
        <v>0</v>
      </c>
      <c r="K25" s="220">
        <f t="shared" si="11"/>
        <v>0</v>
      </c>
      <c r="L25" s="220">
        <f t="shared" si="11"/>
        <v>0</v>
      </c>
      <c r="M25" s="220">
        <f t="shared" si="11"/>
        <v>0</v>
      </c>
      <c r="N25" s="220">
        <f t="shared" si="11"/>
        <v>0</v>
      </c>
      <c r="O25" s="220">
        <f t="shared" si="11"/>
        <v>0</v>
      </c>
      <c r="P25" s="220">
        <f t="shared" si="11"/>
        <v>0</v>
      </c>
      <c r="Q25" s="220">
        <f t="shared" ref="Q25" si="12">Q23*Q24</f>
        <v>0</v>
      </c>
      <c r="R25" s="220">
        <f t="shared" si="11"/>
        <v>0</v>
      </c>
      <c r="S25" s="163"/>
      <c r="T25" s="163"/>
    </row>
    <row r="26" spans="1:20" ht="5.25" customHeight="1" x14ac:dyDescent="0.35">
      <c r="A26" s="223"/>
      <c r="B26" s="178"/>
      <c r="C26" s="179"/>
      <c r="D26" s="179"/>
      <c r="E26" s="179"/>
      <c r="F26" s="179"/>
      <c r="G26" s="179"/>
      <c r="H26" s="179"/>
      <c r="I26" s="179"/>
      <c r="J26" s="179"/>
      <c r="K26" s="179"/>
      <c r="L26" s="179"/>
      <c r="M26" s="179"/>
      <c r="N26" s="179"/>
      <c r="O26" s="179"/>
      <c r="P26" s="179"/>
      <c r="Q26" s="179"/>
      <c r="R26" s="180"/>
      <c r="S26" s="163"/>
      <c r="T26" s="163"/>
    </row>
    <row r="27" spans="1:20" hidden="1" outlineLevel="1" x14ac:dyDescent="0.35">
      <c r="A27" s="693">
        <f>'2. Tulud-kulud projektiga'!A27:A29</f>
        <v>0</v>
      </c>
      <c r="B27" s="218" t="str">
        <f>'2. Tulud-kulud projektiga'!B27</f>
        <v>Ühik 6</v>
      </c>
      <c r="C27" s="219" t="str">
        <f>'2. Tulud-kulud projektiga'!C27</f>
        <v>m2</v>
      </c>
      <c r="D27" s="173"/>
      <c r="E27" s="173"/>
      <c r="F27" s="173"/>
      <c r="G27" s="173"/>
      <c r="H27" s="173"/>
      <c r="I27" s="173"/>
      <c r="J27" s="173"/>
      <c r="K27" s="173"/>
      <c r="L27" s="173"/>
      <c r="M27" s="173"/>
      <c r="N27" s="173"/>
      <c r="O27" s="173"/>
      <c r="P27" s="173"/>
      <c r="Q27" s="173"/>
      <c r="R27" s="173"/>
      <c r="S27" s="163"/>
      <c r="T27" s="163"/>
    </row>
    <row r="28" spans="1:20" hidden="1" outlineLevel="1" x14ac:dyDescent="0.35">
      <c r="A28" s="693"/>
      <c r="B28" s="218" t="s">
        <v>0</v>
      </c>
      <c r="C28" s="219" t="s">
        <v>3</v>
      </c>
      <c r="D28" s="173"/>
      <c r="E28" s="173"/>
      <c r="F28" s="173"/>
      <c r="G28" s="173"/>
      <c r="H28" s="173"/>
      <c r="I28" s="173"/>
      <c r="J28" s="173"/>
      <c r="K28" s="173"/>
      <c r="L28" s="173"/>
      <c r="M28" s="173"/>
      <c r="N28" s="173"/>
      <c r="O28" s="173"/>
      <c r="P28" s="173"/>
      <c r="Q28" s="173"/>
      <c r="R28" s="173"/>
      <c r="S28" s="163"/>
      <c r="T28" s="163"/>
    </row>
    <row r="29" spans="1:20" hidden="1" outlineLevel="1" x14ac:dyDescent="0.35">
      <c r="A29" s="693"/>
      <c r="B29" s="221" t="s">
        <v>1</v>
      </c>
      <c r="C29" s="222" t="s">
        <v>3</v>
      </c>
      <c r="D29" s="220">
        <f t="shared" ref="D29:R29" si="13">D27*D28</f>
        <v>0</v>
      </c>
      <c r="E29" s="220">
        <f t="shared" si="13"/>
        <v>0</v>
      </c>
      <c r="F29" s="220">
        <f t="shared" si="13"/>
        <v>0</v>
      </c>
      <c r="G29" s="220">
        <f t="shared" si="13"/>
        <v>0</v>
      </c>
      <c r="H29" s="220">
        <f t="shared" si="13"/>
        <v>0</v>
      </c>
      <c r="I29" s="220">
        <f t="shared" si="13"/>
        <v>0</v>
      </c>
      <c r="J29" s="220">
        <f t="shared" si="13"/>
        <v>0</v>
      </c>
      <c r="K29" s="220">
        <f t="shared" si="13"/>
        <v>0</v>
      </c>
      <c r="L29" s="220">
        <f t="shared" si="13"/>
        <v>0</v>
      </c>
      <c r="M29" s="220">
        <f t="shared" si="13"/>
        <v>0</v>
      </c>
      <c r="N29" s="220">
        <f t="shared" si="13"/>
        <v>0</v>
      </c>
      <c r="O29" s="220">
        <f t="shared" si="13"/>
        <v>0</v>
      </c>
      <c r="P29" s="220">
        <f t="shared" si="13"/>
        <v>0</v>
      </c>
      <c r="Q29" s="220">
        <f t="shared" ref="Q29" si="14">Q27*Q28</f>
        <v>0</v>
      </c>
      <c r="R29" s="220">
        <f t="shared" si="13"/>
        <v>0</v>
      </c>
      <c r="S29" s="163"/>
      <c r="T29" s="163"/>
    </row>
    <row r="30" spans="1:20" ht="5.25" hidden="1" customHeight="1" outlineLevel="1" x14ac:dyDescent="0.35">
      <c r="A30" s="223"/>
      <c r="B30" s="178"/>
      <c r="C30" s="179"/>
      <c r="D30" s="179"/>
      <c r="E30" s="179"/>
      <c r="F30" s="179"/>
      <c r="G30" s="179"/>
      <c r="H30" s="179"/>
      <c r="I30" s="179"/>
      <c r="J30" s="179"/>
      <c r="K30" s="179"/>
      <c r="L30" s="179"/>
      <c r="M30" s="179"/>
      <c r="N30" s="179"/>
      <c r="O30" s="179"/>
      <c r="P30" s="179"/>
      <c r="Q30" s="179"/>
      <c r="R30" s="180"/>
      <c r="S30" s="163"/>
      <c r="T30" s="163"/>
    </row>
    <row r="31" spans="1:20" hidden="1" outlineLevel="1" x14ac:dyDescent="0.35">
      <c r="A31" s="693">
        <f>'2. Tulud-kulud projektiga'!A31:A33</f>
        <v>0</v>
      </c>
      <c r="B31" s="218" t="str">
        <f>'2. Tulud-kulud projektiga'!B31</f>
        <v>Ühik 7</v>
      </c>
      <c r="C31" s="219" t="str">
        <f>'2. Tulud-kulud projektiga'!C31</f>
        <v>m2</v>
      </c>
      <c r="D31" s="173"/>
      <c r="E31" s="173"/>
      <c r="F31" s="173"/>
      <c r="G31" s="173"/>
      <c r="H31" s="173"/>
      <c r="I31" s="173"/>
      <c r="J31" s="173"/>
      <c r="K31" s="173"/>
      <c r="L31" s="173"/>
      <c r="M31" s="173"/>
      <c r="N31" s="173"/>
      <c r="O31" s="173"/>
      <c r="P31" s="173"/>
      <c r="Q31" s="173"/>
      <c r="R31" s="173"/>
      <c r="S31" s="163"/>
      <c r="T31" s="163"/>
    </row>
    <row r="32" spans="1:20" hidden="1" outlineLevel="1" x14ac:dyDescent="0.35">
      <c r="A32" s="693"/>
      <c r="B32" s="218" t="s">
        <v>0</v>
      </c>
      <c r="C32" s="219" t="s">
        <v>3</v>
      </c>
      <c r="D32" s="173"/>
      <c r="E32" s="173"/>
      <c r="F32" s="173"/>
      <c r="G32" s="173"/>
      <c r="H32" s="173"/>
      <c r="I32" s="173"/>
      <c r="J32" s="173"/>
      <c r="K32" s="173"/>
      <c r="L32" s="173"/>
      <c r="M32" s="173"/>
      <c r="N32" s="173"/>
      <c r="O32" s="173"/>
      <c r="P32" s="173"/>
      <c r="Q32" s="173"/>
      <c r="R32" s="173"/>
      <c r="S32" s="163"/>
      <c r="T32" s="163"/>
    </row>
    <row r="33" spans="1:20" hidden="1" outlineLevel="1" x14ac:dyDescent="0.35">
      <c r="A33" s="693"/>
      <c r="B33" s="221" t="s">
        <v>1</v>
      </c>
      <c r="C33" s="222" t="s">
        <v>3</v>
      </c>
      <c r="D33" s="220">
        <f t="shared" ref="D33:R33" si="15">D31*D32</f>
        <v>0</v>
      </c>
      <c r="E33" s="220">
        <f t="shared" si="15"/>
        <v>0</v>
      </c>
      <c r="F33" s="220">
        <f t="shared" si="15"/>
        <v>0</v>
      </c>
      <c r="G33" s="220">
        <f t="shared" si="15"/>
        <v>0</v>
      </c>
      <c r="H33" s="220">
        <f t="shared" si="15"/>
        <v>0</v>
      </c>
      <c r="I33" s="220">
        <f t="shared" si="15"/>
        <v>0</v>
      </c>
      <c r="J33" s="220">
        <f t="shared" si="15"/>
        <v>0</v>
      </c>
      <c r="K33" s="220">
        <f t="shared" si="15"/>
        <v>0</v>
      </c>
      <c r="L33" s="220">
        <f t="shared" si="15"/>
        <v>0</v>
      </c>
      <c r="M33" s="220">
        <f t="shared" si="15"/>
        <v>0</v>
      </c>
      <c r="N33" s="220">
        <f t="shared" si="15"/>
        <v>0</v>
      </c>
      <c r="O33" s="220">
        <f t="shared" si="15"/>
        <v>0</v>
      </c>
      <c r="P33" s="220">
        <f t="shared" si="15"/>
        <v>0</v>
      </c>
      <c r="Q33" s="220">
        <f t="shared" ref="Q33" si="16">Q31*Q32</f>
        <v>0</v>
      </c>
      <c r="R33" s="220">
        <f t="shared" si="15"/>
        <v>0</v>
      </c>
      <c r="S33" s="163"/>
      <c r="T33" s="163"/>
    </row>
    <row r="34" spans="1:20" ht="5.25" hidden="1" customHeight="1" outlineLevel="1" x14ac:dyDescent="0.35">
      <c r="A34" s="223"/>
      <c r="B34" s="178"/>
      <c r="C34" s="179"/>
      <c r="D34" s="179"/>
      <c r="E34" s="179"/>
      <c r="F34" s="179"/>
      <c r="G34" s="179"/>
      <c r="H34" s="179"/>
      <c r="I34" s="179"/>
      <c r="J34" s="179"/>
      <c r="K34" s="179"/>
      <c r="L34" s="179"/>
      <c r="M34" s="179"/>
      <c r="N34" s="179"/>
      <c r="O34" s="179"/>
      <c r="P34" s="179"/>
      <c r="Q34" s="179"/>
      <c r="R34" s="180"/>
      <c r="S34" s="163"/>
      <c r="T34" s="163"/>
    </row>
    <row r="35" spans="1:20" hidden="1" outlineLevel="1" x14ac:dyDescent="0.35">
      <c r="A35" s="693">
        <f>'2. Tulud-kulud projektiga'!A35:A37</f>
        <v>0</v>
      </c>
      <c r="B35" s="218" t="str">
        <f>'2. Tulud-kulud projektiga'!B35</f>
        <v>Ühik 8</v>
      </c>
      <c r="C35" s="219" t="str">
        <f>'2. Tulud-kulud projektiga'!C35</f>
        <v>m2</v>
      </c>
      <c r="D35" s="173"/>
      <c r="E35" s="173"/>
      <c r="F35" s="173"/>
      <c r="G35" s="173"/>
      <c r="H35" s="173"/>
      <c r="I35" s="173"/>
      <c r="J35" s="173"/>
      <c r="K35" s="173"/>
      <c r="L35" s="173"/>
      <c r="M35" s="173"/>
      <c r="N35" s="173"/>
      <c r="O35" s="173"/>
      <c r="P35" s="173"/>
      <c r="Q35" s="173"/>
      <c r="R35" s="173"/>
      <c r="S35" s="163"/>
      <c r="T35" s="163"/>
    </row>
    <row r="36" spans="1:20" hidden="1" outlineLevel="1" x14ac:dyDescent="0.35">
      <c r="A36" s="693"/>
      <c r="B36" s="218" t="s">
        <v>0</v>
      </c>
      <c r="C36" s="219" t="s">
        <v>3</v>
      </c>
      <c r="D36" s="173"/>
      <c r="E36" s="173"/>
      <c r="F36" s="173"/>
      <c r="G36" s="173"/>
      <c r="H36" s="173"/>
      <c r="I36" s="173"/>
      <c r="J36" s="173"/>
      <c r="K36" s="173"/>
      <c r="L36" s="173"/>
      <c r="M36" s="173"/>
      <c r="N36" s="173"/>
      <c r="O36" s="173"/>
      <c r="P36" s="173"/>
      <c r="Q36" s="173"/>
      <c r="R36" s="173"/>
      <c r="S36" s="163"/>
      <c r="T36" s="163"/>
    </row>
    <row r="37" spans="1:20" hidden="1" outlineLevel="1" x14ac:dyDescent="0.35">
      <c r="A37" s="693"/>
      <c r="B37" s="221" t="s">
        <v>1</v>
      </c>
      <c r="C37" s="222" t="s">
        <v>3</v>
      </c>
      <c r="D37" s="220">
        <f t="shared" ref="D37:R37" si="17">D35*D36</f>
        <v>0</v>
      </c>
      <c r="E37" s="220">
        <f t="shared" si="17"/>
        <v>0</v>
      </c>
      <c r="F37" s="220">
        <f t="shared" si="17"/>
        <v>0</v>
      </c>
      <c r="G37" s="220">
        <f t="shared" si="17"/>
        <v>0</v>
      </c>
      <c r="H37" s="220">
        <f t="shared" si="17"/>
        <v>0</v>
      </c>
      <c r="I37" s="220">
        <f t="shared" si="17"/>
        <v>0</v>
      </c>
      <c r="J37" s="220">
        <f t="shared" si="17"/>
        <v>0</v>
      </c>
      <c r="K37" s="220">
        <f t="shared" si="17"/>
        <v>0</v>
      </c>
      <c r="L37" s="220">
        <f t="shared" si="17"/>
        <v>0</v>
      </c>
      <c r="M37" s="220">
        <f t="shared" si="17"/>
        <v>0</v>
      </c>
      <c r="N37" s="220">
        <f t="shared" si="17"/>
        <v>0</v>
      </c>
      <c r="O37" s="220">
        <f t="shared" si="17"/>
        <v>0</v>
      </c>
      <c r="P37" s="220">
        <f t="shared" si="17"/>
        <v>0</v>
      </c>
      <c r="Q37" s="220">
        <f t="shared" ref="Q37" si="18">Q35*Q36</f>
        <v>0</v>
      </c>
      <c r="R37" s="220">
        <f t="shared" si="17"/>
        <v>0</v>
      </c>
      <c r="S37" s="163"/>
      <c r="T37" s="163"/>
    </row>
    <row r="38" spans="1:20" ht="5.25" hidden="1" customHeight="1" outlineLevel="1" x14ac:dyDescent="0.35">
      <c r="A38" s="223"/>
      <c r="B38" s="178"/>
      <c r="C38" s="179"/>
      <c r="D38" s="179"/>
      <c r="E38" s="179"/>
      <c r="F38" s="179"/>
      <c r="G38" s="179"/>
      <c r="H38" s="179"/>
      <c r="I38" s="179"/>
      <c r="J38" s="179"/>
      <c r="K38" s="179"/>
      <c r="L38" s="179"/>
      <c r="M38" s="179"/>
      <c r="N38" s="179"/>
      <c r="O38" s="179"/>
      <c r="P38" s="179"/>
      <c r="Q38" s="179"/>
      <c r="R38" s="180"/>
      <c r="S38" s="163"/>
      <c r="T38" s="163"/>
    </row>
    <row r="39" spans="1:20" hidden="1" outlineLevel="1" x14ac:dyDescent="0.35">
      <c r="A39" s="693">
        <f>'2. Tulud-kulud projektiga'!A39:A41</f>
        <v>0</v>
      </c>
      <c r="B39" s="218" t="str">
        <f>'2. Tulud-kulud projektiga'!B39</f>
        <v>Ühik 9</v>
      </c>
      <c r="C39" s="219" t="str">
        <f>'2. Tulud-kulud projektiga'!C39</f>
        <v>Kuud</v>
      </c>
      <c r="D39" s="173"/>
      <c r="E39" s="173"/>
      <c r="F39" s="173"/>
      <c r="G39" s="173"/>
      <c r="H39" s="173"/>
      <c r="I39" s="173"/>
      <c r="J39" s="173"/>
      <c r="K39" s="173"/>
      <c r="L39" s="173"/>
      <c r="M39" s="173"/>
      <c r="N39" s="173"/>
      <c r="O39" s="173"/>
      <c r="P39" s="173"/>
      <c r="Q39" s="173"/>
      <c r="R39" s="173"/>
      <c r="S39" s="163"/>
      <c r="T39" s="163"/>
    </row>
    <row r="40" spans="1:20" hidden="1" outlineLevel="1" x14ac:dyDescent="0.35">
      <c r="A40" s="693"/>
      <c r="B40" s="218" t="s">
        <v>0</v>
      </c>
      <c r="C40" s="219" t="s">
        <v>3</v>
      </c>
      <c r="D40" s="173"/>
      <c r="E40" s="173"/>
      <c r="F40" s="173"/>
      <c r="G40" s="173"/>
      <c r="H40" s="173"/>
      <c r="I40" s="173"/>
      <c r="J40" s="173"/>
      <c r="K40" s="173"/>
      <c r="L40" s="173"/>
      <c r="M40" s="173"/>
      <c r="N40" s="173"/>
      <c r="O40" s="173"/>
      <c r="P40" s="173"/>
      <c r="Q40" s="173"/>
      <c r="R40" s="173"/>
      <c r="S40" s="163"/>
      <c r="T40" s="163"/>
    </row>
    <row r="41" spans="1:20" hidden="1" outlineLevel="1" x14ac:dyDescent="0.35">
      <c r="A41" s="693"/>
      <c r="B41" s="221" t="s">
        <v>1</v>
      </c>
      <c r="C41" s="222" t="s">
        <v>3</v>
      </c>
      <c r="D41" s="220">
        <f t="shared" ref="D41:R41" si="19">D39*D40</f>
        <v>0</v>
      </c>
      <c r="E41" s="220">
        <f t="shared" si="19"/>
        <v>0</v>
      </c>
      <c r="F41" s="220">
        <f t="shared" si="19"/>
        <v>0</v>
      </c>
      <c r="G41" s="220">
        <f t="shared" si="19"/>
        <v>0</v>
      </c>
      <c r="H41" s="220">
        <f t="shared" si="19"/>
        <v>0</v>
      </c>
      <c r="I41" s="220">
        <f t="shared" si="19"/>
        <v>0</v>
      </c>
      <c r="J41" s="220">
        <f t="shared" si="19"/>
        <v>0</v>
      </c>
      <c r="K41" s="220">
        <f t="shared" si="19"/>
        <v>0</v>
      </c>
      <c r="L41" s="220">
        <f t="shared" si="19"/>
        <v>0</v>
      </c>
      <c r="M41" s="220">
        <f t="shared" si="19"/>
        <v>0</v>
      </c>
      <c r="N41" s="220">
        <f t="shared" si="19"/>
        <v>0</v>
      </c>
      <c r="O41" s="220">
        <f t="shared" si="19"/>
        <v>0</v>
      </c>
      <c r="P41" s="220">
        <f t="shared" si="19"/>
        <v>0</v>
      </c>
      <c r="Q41" s="220">
        <f t="shared" ref="Q41" si="20">Q39*Q40</f>
        <v>0</v>
      </c>
      <c r="R41" s="220">
        <f t="shared" si="19"/>
        <v>0</v>
      </c>
      <c r="S41" s="163"/>
      <c r="T41" s="163"/>
    </row>
    <row r="42" spans="1:20" ht="5.25" hidden="1" customHeight="1" outlineLevel="1" x14ac:dyDescent="0.35">
      <c r="A42" s="223"/>
      <c r="B42" s="178"/>
      <c r="C42" s="179"/>
      <c r="D42" s="179"/>
      <c r="E42" s="179"/>
      <c r="F42" s="179"/>
      <c r="G42" s="179"/>
      <c r="H42" s="179"/>
      <c r="I42" s="179"/>
      <c r="J42" s="179"/>
      <c r="K42" s="179"/>
      <c r="L42" s="179"/>
      <c r="M42" s="179"/>
      <c r="N42" s="179"/>
      <c r="O42" s="179"/>
      <c r="P42" s="179"/>
      <c r="Q42" s="179"/>
      <c r="R42" s="180"/>
      <c r="S42" s="163"/>
      <c r="T42" s="163"/>
    </row>
    <row r="43" spans="1:20" hidden="1" outlineLevel="1" x14ac:dyDescent="0.35">
      <c r="A43" s="693">
        <f>'2. Tulud-kulud projektiga'!A43:A45</f>
        <v>0</v>
      </c>
      <c r="B43" s="218" t="str">
        <f>'2. Tulud-kulud projektiga'!B43</f>
        <v>Ühik 10</v>
      </c>
      <c r="C43" s="219" t="str">
        <f>'2. Tulud-kulud projektiga'!C43</f>
        <v>Kuud</v>
      </c>
      <c r="D43" s="173"/>
      <c r="E43" s="173"/>
      <c r="F43" s="173"/>
      <c r="G43" s="173"/>
      <c r="H43" s="173"/>
      <c r="I43" s="173"/>
      <c r="J43" s="173"/>
      <c r="K43" s="173"/>
      <c r="L43" s="173"/>
      <c r="M43" s="173"/>
      <c r="N43" s="173"/>
      <c r="O43" s="173"/>
      <c r="P43" s="173"/>
      <c r="Q43" s="173"/>
      <c r="R43" s="173"/>
      <c r="S43" s="163"/>
      <c r="T43" s="163"/>
    </row>
    <row r="44" spans="1:20" hidden="1" outlineLevel="1" x14ac:dyDescent="0.35">
      <c r="A44" s="693"/>
      <c r="B44" s="218" t="s">
        <v>0</v>
      </c>
      <c r="C44" s="219" t="s">
        <v>3</v>
      </c>
      <c r="D44" s="173"/>
      <c r="E44" s="173"/>
      <c r="F44" s="173"/>
      <c r="G44" s="173"/>
      <c r="H44" s="173"/>
      <c r="I44" s="173"/>
      <c r="J44" s="173"/>
      <c r="K44" s="173"/>
      <c r="L44" s="173"/>
      <c r="M44" s="173"/>
      <c r="N44" s="173"/>
      <c r="O44" s="173"/>
      <c r="P44" s="173"/>
      <c r="Q44" s="173"/>
      <c r="R44" s="173"/>
      <c r="S44" s="163"/>
      <c r="T44" s="163"/>
    </row>
    <row r="45" spans="1:20" hidden="1" outlineLevel="1" x14ac:dyDescent="0.35">
      <c r="A45" s="693"/>
      <c r="B45" s="221" t="s">
        <v>1</v>
      </c>
      <c r="C45" s="222" t="s">
        <v>3</v>
      </c>
      <c r="D45" s="220">
        <f t="shared" ref="D45:R45" si="21">D43*D44</f>
        <v>0</v>
      </c>
      <c r="E45" s="220">
        <f t="shared" si="21"/>
        <v>0</v>
      </c>
      <c r="F45" s="220">
        <f t="shared" si="21"/>
        <v>0</v>
      </c>
      <c r="G45" s="220">
        <f t="shared" si="21"/>
        <v>0</v>
      </c>
      <c r="H45" s="220">
        <f t="shared" si="21"/>
        <v>0</v>
      </c>
      <c r="I45" s="220">
        <f t="shared" si="21"/>
        <v>0</v>
      </c>
      <c r="J45" s="220">
        <f t="shared" si="21"/>
        <v>0</v>
      </c>
      <c r="K45" s="220">
        <f t="shared" si="21"/>
        <v>0</v>
      </c>
      <c r="L45" s="220">
        <f t="shared" si="21"/>
        <v>0</v>
      </c>
      <c r="M45" s="220">
        <f t="shared" si="21"/>
        <v>0</v>
      </c>
      <c r="N45" s="220">
        <f t="shared" si="21"/>
        <v>0</v>
      </c>
      <c r="O45" s="220">
        <f t="shared" si="21"/>
        <v>0</v>
      </c>
      <c r="P45" s="220">
        <f t="shared" si="21"/>
        <v>0</v>
      </c>
      <c r="Q45" s="220">
        <f t="shared" ref="Q45" si="22">Q43*Q44</f>
        <v>0</v>
      </c>
      <c r="R45" s="220">
        <f t="shared" si="21"/>
        <v>0</v>
      </c>
      <c r="S45" s="163"/>
      <c r="T45" s="163"/>
    </row>
    <row r="46" spans="1:20" ht="12" customHeight="1" collapsed="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customHeight="1" x14ac:dyDescent="0.35">
      <c r="A47" s="696" t="str">
        <f>'2. Tulud-kulud projektiga'!A47:B47</f>
        <v>Muu tulu (nimetage)</v>
      </c>
      <c r="B47" s="697"/>
      <c r="C47" s="222" t="s">
        <v>3</v>
      </c>
      <c r="D47" s="173"/>
      <c r="E47" s="173"/>
      <c r="F47" s="173"/>
      <c r="G47" s="173"/>
      <c r="H47" s="173"/>
      <c r="I47" s="173"/>
      <c r="J47" s="173"/>
      <c r="K47" s="173"/>
      <c r="L47" s="173"/>
      <c r="M47" s="173"/>
      <c r="N47" s="173"/>
      <c r="O47" s="173"/>
      <c r="P47" s="173"/>
      <c r="Q47" s="173"/>
      <c r="R47" s="173"/>
      <c r="S47" s="163"/>
      <c r="T47" s="163"/>
    </row>
    <row r="48" spans="1:20" ht="18.75" customHeight="1" x14ac:dyDescent="0.35">
      <c r="A48" s="696" t="str">
        <f>'2. Tulud-kulud projektiga'!A48:B48</f>
        <v>Muu tulu (nimetage)</v>
      </c>
      <c r="B48" s="697"/>
      <c r="C48" s="222" t="s">
        <v>3</v>
      </c>
      <c r="D48" s="173"/>
      <c r="E48" s="173"/>
      <c r="F48" s="173"/>
      <c r="G48" s="173"/>
      <c r="H48" s="173"/>
      <c r="I48" s="173"/>
      <c r="J48" s="173"/>
      <c r="K48" s="173"/>
      <c r="L48" s="173"/>
      <c r="M48" s="173"/>
      <c r="N48" s="173"/>
      <c r="O48" s="173"/>
      <c r="P48" s="173"/>
      <c r="Q48" s="173"/>
      <c r="R48" s="173"/>
      <c r="S48" s="163"/>
      <c r="T48" s="163"/>
    </row>
    <row r="49" spans="1:21" ht="18.75" customHeight="1" x14ac:dyDescent="0.35">
      <c r="A49" s="696" t="str">
        <f>'2. Tulud-kulud projektiga'!A49:B49</f>
        <v>Muu tulu (nimetage)</v>
      </c>
      <c r="B49" s="697"/>
      <c r="C49" s="222" t="s">
        <v>3</v>
      </c>
      <c r="D49" s="173"/>
      <c r="E49" s="173"/>
      <c r="F49" s="173"/>
      <c r="G49" s="173"/>
      <c r="H49" s="173"/>
      <c r="I49" s="173"/>
      <c r="J49" s="173"/>
      <c r="K49" s="173"/>
      <c r="L49" s="173"/>
      <c r="M49" s="173"/>
      <c r="N49" s="173"/>
      <c r="O49" s="173"/>
      <c r="P49" s="173"/>
      <c r="Q49" s="173"/>
      <c r="R49" s="173"/>
      <c r="S49" s="163"/>
      <c r="T49" s="163"/>
    </row>
    <row r="50" spans="1:21" ht="18.75" customHeight="1" x14ac:dyDescent="0.35">
      <c r="A50" s="696" t="str">
        <f>'2. Tulud-kulud projektiga'!A50:B50</f>
        <v>Muu tulu (nimetage)</v>
      </c>
      <c r="B50" s="697"/>
      <c r="C50" s="222" t="s">
        <v>3</v>
      </c>
      <c r="D50" s="173"/>
      <c r="E50" s="173"/>
      <c r="F50" s="173"/>
      <c r="G50" s="173"/>
      <c r="H50" s="173"/>
      <c r="I50" s="173"/>
      <c r="J50" s="173"/>
      <c r="K50" s="173"/>
      <c r="L50" s="173"/>
      <c r="M50" s="173"/>
      <c r="N50" s="173"/>
      <c r="O50" s="173"/>
      <c r="P50" s="173"/>
      <c r="Q50" s="173"/>
      <c r="R50" s="173"/>
      <c r="S50" s="163"/>
      <c r="T50" s="163"/>
    </row>
    <row r="51" spans="1:21" ht="18.75" customHeight="1" x14ac:dyDescent="0.35">
      <c r="A51" s="696" t="str">
        <f>'2. Tulud-kulud projektiga'!A51:B51</f>
        <v>Muu tulu (nimetage)</v>
      </c>
      <c r="B51" s="697"/>
      <c r="C51" s="222" t="s">
        <v>3</v>
      </c>
      <c r="D51" s="173"/>
      <c r="E51" s="173"/>
      <c r="F51" s="173"/>
      <c r="G51" s="173"/>
      <c r="H51" s="173"/>
      <c r="I51" s="173"/>
      <c r="J51" s="173"/>
      <c r="K51" s="173"/>
      <c r="L51" s="173"/>
      <c r="M51" s="173"/>
      <c r="N51" s="173"/>
      <c r="O51" s="173"/>
      <c r="P51" s="173"/>
      <c r="Q51" s="173"/>
      <c r="R51" s="173"/>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85" customFormat="1" ht="21" customHeight="1" x14ac:dyDescent="0.35">
      <c r="A53" s="698" t="s">
        <v>8</v>
      </c>
      <c r="B53" s="699"/>
      <c r="C53" s="224" t="s">
        <v>3</v>
      </c>
      <c r="D53" s="225">
        <f t="shared" ref="D53:R53" si="23">D9+D13+D17+D21+D25+D29+D33+D37+D41+D45+D47+D48+D49+D50+D51</f>
        <v>0</v>
      </c>
      <c r="E53" s="225">
        <f t="shared" si="23"/>
        <v>0</v>
      </c>
      <c r="F53" s="225">
        <f t="shared" si="23"/>
        <v>0</v>
      </c>
      <c r="G53" s="225">
        <f t="shared" si="23"/>
        <v>0</v>
      </c>
      <c r="H53" s="225">
        <f t="shared" si="23"/>
        <v>0</v>
      </c>
      <c r="I53" s="225">
        <f t="shared" si="23"/>
        <v>0</v>
      </c>
      <c r="J53" s="225">
        <f t="shared" si="23"/>
        <v>0</v>
      </c>
      <c r="K53" s="225">
        <f t="shared" si="23"/>
        <v>0</v>
      </c>
      <c r="L53" s="225">
        <f t="shared" si="23"/>
        <v>0</v>
      </c>
      <c r="M53" s="225">
        <f t="shared" si="23"/>
        <v>0</v>
      </c>
      <c r="N53" s="225">
        <f t="shared" si="23"/>
        <v>0</v>
      </c>
      <c r="O53" s="225">
        <f t="shared" si="23"/>
        <v>0</v>
      </c>
      <c r="P53" s="225">
        <f t="shared" si="23"/>
        <v>0</v>
      </c>
      <c r="Q53" s="225">
        <f t="shared" ref="Q53" si="24">Q9+Q13+Q17+Q21+Q25+Q29+Q33+Q37+Q41+Q45+Q47+Q48+Q49+Q50+Q51</f>
        <v>0</v>
      </c>
      <c r="R53" s="225">
        <f t="shared" si="23"/>
        <v>0</v>
      </c>
      <c r="S53" s="184"/>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9</v>
      </c>
      <c r="B56" s="186"/>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693" t="str">
        <f>'2. Tulud-kulud projektiga'!A58:A79</f>
        <v>Tööjõukulud</v>
      </c>
      <c r="B58" s="218">
        <f>'2. Tulud-kulud projektiga'!B58</f>
        <v>0</v>
      </c>
      <c r="C58" s="219" t="s">
        <v>3</v>
      </c>
      <c r="D58" s="173"/>
      <c r="E58" s="173"/>
      <c r="F58" s="173"/>
      <c r="G58" s="173"/>
      <c r="H58" s="173"/>
      <c r="I58" s="173"/>
      <c r="J58" s="173"/>
      <c r="K58" s="173"/>
      <c r="L58" s="173"/>
      <c r="M58" s="173"/>
      <c r="N58" s="173"/>
      <c r="O58" s="173"/>
      <c r="P58" s="173"/>
      <c r="Q58" s="173"/>
      <c r="R58" s="173"/>
      <c r="S58" s="188"/>
      <c r="T58" s="188"/>
      <c r="U58" s="189"/>
    </row>
    <row r="59" spans="1:21" x14ac:dyDescent="0.35">
      <c r="A59" s="693"/>
      <c r="B59" s="218" t="str">
        <f>'2. Tulud-kulud projektiga'!B59</f>
        <v>Projektijuht</v>
      </c>
      <c r="C59" s="219" t="s">
        <v>3</v>
      </c>
      <c r="D59" s="173"/>
      <c r="E59" s="173"/>
      <c r="F59" s="173"/>
      <c r="G59" s="173"/>
      <c r="H59" s="173"/>
      <c r="I59" s="173"/>
      <c r="J59" s="173"/>
      <c r="K59" s="173"/>
      <c r="L59" s="173"/>
      <c r="M59" s="173"/>
      <c r="N59" s="173"/>
      <c r="O59" s="173"/>
      <c r="P59" s="173"/>
      <c r="Q59" s="173"/>
      <c r="R59" s="173"/>
      <c r="S59" s="188"/>
      <c r="T59" s="188"/>
      <c r="U59" s="189"/>
    </row>
    <row r="60" spans="1:21" x14ac:dyDescent="0.35">
      <c r="A60" s="693"/>
      <c r="B60" s="218" t="str">
        <f>'2. Tulud-kulud projektiga'!B60</f>
        <v>Turundustegevuste koordineerija</v>
      </c>
      <c r="C60" s="219" t="s">
        <v>3</v>
      </c>
      <c r="D60" s="173"/>
      <c r="E60" s="173"/>
      <c r="F60" s="173"/>
      <c r="G60" s="173"/>
      <c r="H60" s="173"/>
      <c r="I60" s="173"/>
      <c r="J60" s="173"/>
      <c r="K60" s="173"/>
      <c r="L60" s="173"/>
      <c r="M60" s="173"/>
      <c r="N60" s="173"/>
      <c r="O60" s="173"/>
      <c r="P60" s="173"/>
      <c r="Q60" s="173"/>
      <c r="R60" s="173"/>
      <c r="S60" s="188"/>
      <c r="T60" s="188"/>
      <c r="U60" s="189"/>
    </row>
    <row r="61" spans="1:21" x14ac:dyDescent="0.35">
      <c r="A61" s="693"/>
      <c r="B61" s="218" t="str">
        <f>'2. Tulud-kulud projektiga'!B61</f>
        <v>Finantsjuht</v>
      </c>
      <c r="C61" s="219" t="s">
        <v>3</v>
      </c>
      <c r="D61" s="173"/>
      <c r="E61" s="173"/>
      <c r="F61" s="173"/>
      <c r="G61" s="173"/>
      <c r="H61" s="173"/>
      <c r="I61" s="173"/>
      <c r="J61" s="173"/>
      <c r="K61" s="173"/>
      <c r="L61" s="173"/>
      <c r="M61" s="173"/>
      <c r="N61" s="173"/>
      <c r="O61" s="173"/>
      <c r="P61" s="173"/>
      <c r="Q61" s="173"/>
      <c r="R61" s="173"/>
      <c r="S61" s="188"/>
      <c r="T61" s="188"/>
      <c r="U61" s="189"/>
    </row>
    <row r="62" spans="1:21" x14ac:dyDescent="0.35">
      <c r="A62" s="693"/>
      <c r="B62" s="218" t="str">
        <f>'2. Tulud-kulud projektiga'!B62</f>
        <v>Töötaja 5</v>
      </c>
      <c r="C62" s="219" t="s">
        <v>3</v>
      </c>
      <c r="D62" s="173"/>
      <c r="E62" s="173"/>
      <c r="F62" s="173"/>
      <c r="G62" s="173"/>
      <c r="H62" s="173"/>
      <c r="I62" s="173"/>
      <c r="J62" s="173"/>
      <c r="K62" s="173"/>
      <c r="L62" s="173"/>
      <c r="M62" s="173"/>
      <c r="N62" s="173"/>
      <c r="O62" s="173"/>
      <c r="P62" s="173"/>
      <c r="Q62" s="173"/>
      <c r="R62" s="173"/>
      <c r="S62" s="188"/>
      <c r="T62" s="188"/>
      <c r="U62" s="189"/>
    </row>
    <row r="63" spans="1:21" x14ac:dyDescent="0.35">
      <c r="A63" s="693"/>
      <c r="B63" s="218" t="str">
        <f>'2. Tulud-kulud projektiga'!B63</f>
        <v>Töötaja 6</v>
      </c>
      <c r="C63" s="219" t="s">
        <v>3</v>
      </c>
      <c r="D63" s="173"/>
      <c r="E63" s="173"/>
      <c r="F63" s="173"/>
      <c r="G63" s="173"/>
      <c r="H63" s="173"/>
      <c r="I63" s="173"/>
      <c r="J63" s="173"/>
      <c r="K63" s="173"/>
      <c r="L63" s="173"/>
      <c r="M63" s="173"/>
      <c r="N63" s="173"/>
      <c r="O63" s="173"/>
      <c r="P63" s="173"/>
      <c r="Q63" s="173"/>
      <c r="R63" s="173"/>
      <c r="S63" s="188"/>
      <c r="T63" s="188"/>
      <c r="U63" s="189"/>
    </row>
    <row r="64" spans="1:21" x14ac:dyDescent="0.35">
      <c r="A64" s="693"/>
      <c r="B64" s="218" t="str">
        <f>'2. Tulud-kulud projektiga'!B64</f>
        <v>Töötaja 7</v>
      </c>
      <c r="C64" s="219" t="s">
        <v>3</v>
      </c>
      <c r="D64" s="173"/>
      <c r="E64" s="173"/>
      <c r="F64" s="173"/>
      <c r="G64" s="173"/>
      <c r="H64" s="173"/>
      <c r="I64" s="173"/>
      <c r="J64" s="173"/>
      <c r="K64" s="173"/>
      <c r="L64" s="173"/>
      <c r="M64" s="173"/>
      <c r="N64" s="173"/>
      <c r="O64" s="173"/>
      <c r="P64" s="173"/>
      <c r="Q64" s="173"/>
      <c r="R64" s="173"/>
      <c r="S64" s="188"/>
      <c r="T64" s="188"/>
      <c r="U64" s="189"/>
    </row>
    <row r="65" spans="1:21" x14ac:dyDescent="0.35">
      <c r="A65" s="693"/>
      <c r="B65" s="218" t="str">
        <f>'2. Tulud-kulud projektiga'!B65</f>
        <v>Töötaja 8</v>
      </c>
      <c r="C65" s="219" t="s">
        <v>3</v>
      </c>
      <c r="D65" s="173"/>
      <c r="E65" s="173"/>
      <c r="F65" s="173"/>
      <c r="G65" s="173"/>
      <c r="H65" s="173"/>
      <c r="I65" s="173"/>
      <c r="J65" s="173"/>
      <c r="K65" s="173"/>
      <c r="L65" s="173"/>
      <c r="M65" s="173"/>
      <c r="N65" s="173"/>
      <c r="O65" s="173"/>
      <c r="P65" s="173"/>
      <c r="Q65" s="173"/>
      <c r="R65" s="173"/>
      <c r="S65" s="188"/>
      <c r="T65" s="188"/>
      <c r="U65" s="189"/>
    </row>
    <row r="66" spans="1:21" x14ac:dyDescent="0.35">
      <c r="A66" s="693"/>
      <c r="B66" s="218" t="str">
        <f>'2. Tulud-kulud projektiga'!B66</f>
        <v>Töötaja 9</v>
      </c>
      <c r="C66" s="219" t="s">
        <v>3</v>
      </c>
      <c r="D66" s="173"/>
      <c r="E66" s="173"/>
      <c r="F66" s="173"/>
      <c r="G66" s="173"/>
      <c r="H66" s="173"/>
      <c r="I66" s="173"/>
      <c r="J66" s="173"/>
      <c r="K66" s="173"/>
      <c r="L66" s="173"/>
      <c r="M66" s="173"/>
      <c r="N66" s="173"/>
      <c r="O66" s="173"/>
      <c r="P66" s="173"/>
      <c r="Q66" s="173"/>
      <c r="R66" s="173"/>
      <c r="S66" s="188"/>
      <c r="T66" s="188"/>
      <c r="U66" s="189"/>
    </row>
    <row r="67" spans="1:21" x14ac:dyDescent="0.35">
      <c r="A67" s="693"/>
      <c r="B67" s="218" t="str">
        <f>'2. Tulud-kulud projektiga'!B67</f>
        <v>Töötaja 10</v>
      </c>
      <c r="C67" s="219"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693"/>
      <c r="B68" s="218" t="str">
        <f>'2. Tulud-kulud projektiga'!B68</f>
        <v>Töötaja 11</v>
      </c>
      <c r="C68" s="219"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693"/>
      <c r="B69" s="218" t="str">
        <f>'2. Tulud-kulud projektiga'!B69</f>
        <v>Töötaja 12</v>
      </c>
      <c r="C69" s="219"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693"/>
      <c r="B70" s="218" t="str">
        <f>'2. Tulud-kulud projektiga'!B70</f>
        <v>Töötaja 13</v>
      </c>
      <c r="C70" s="219"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693"/>
      <c r="B71" s="218" t="str">
        <f>'2. Tulud-kulud projektiga'!B71</f>
        <v>Töötaja 14</v>
      </c>
      <c r="C71" s="219"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693"/>
      <c r="B72" s="218" t="str">
        <f>'2. Tulud-kulud projektiga'!B72</f>
        <v>Töötaja 15</v>
      </c>
      <c r="C72" s="219"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693"/>
      <c r="B73" s="218" t="str">
        <f>'2. Tulud-kulud projektiga'!B73</f>
        <v>Töötaja 16</v>
      </c>
      <c r="C73" s="219"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693"/>
      <c r="B74" s="218" t="str">
        <f>'2. Tulud-kulud projektiga'!B74</f>
        <v>Töötaja 17</v>
      </c>
      <c r="C74" s="219"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693"/>
      <c r="B75" s="218" t="str">
        <f>'2. Tulud-kulud projektiga'!B75</f>
        <v>Töötaja 18</v>
      </c>
      <c r="C75" s="219"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693"/>
      <c r="B76" s="218" t="str">
        <f>'2. Tulud-kulud projektiga'!B76</f>
        <v>Töötaja 19</v>
      </c>
      <c r="C76" s="219"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693"/>
      <c r="B77" s="218" t="str">
        <f>'2. Tulud-kulud projektiga'!B77</f>
        <v>Töötaja 20</v>
      </c>
      <c r="C77" s="219"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693"/>
      <c r="B78" s="218" t="s">
        <v>18</v>
      </c>
      <c r="C78" s="219" t="s">
        <v>3</v>
      </c>
      <c r="D78" s="226">
        <f t="shared" ref="D78:R78" si="25">SUM(D58:D77)</f>
        <v>0</v>
      </c>
      <c r="E78" s="226">
        <f t="shared" si="25"/>
        <v>0</v>
      </c>
      <c r="F78" s="226">
        <f t="shared" si="25"/>
        <v>0</v>
      </c>
      <c r="G78" s="226">
        <f t="shared" si="25"/>
        <v>0</v>
      </c>
      <c r="H78" s="226">
        <f t="shared" si="25"/>
        <v>0</v>
      </c>
      <c r="I78" s="226">
        <f t="shared" si="25"/>
        <v>0</v>
      </c>
      <c r="J78" s="226">
        <f t="shared" si="25"/>
        <v>0</v>
      </c>
      <c r="K78" s="226">
        <f t="shared" si="25"/>
        <v>0</v>
      </c>
      <c r="L78" s="226">
        <f t="shared" si="25"/>
        <v>0</v>
      </c>
      <c r="M78" s="226">
        <f t="shared" si="25"/>
        <v>0</v>
      </c>
      <c r="N78" s="226">
        <f t="shared" si="25"/>
        <v>0</v>
      </c>
      <c r="O78" s="226">
        <f t="shared" si="25"/>
        <v>0</v>
      </c>
      <c r="P78" s="226">
        <f t="shared" si="25"/>
        <v>0</v>
      </c>
      <c r="Q78" s="226">
        <f t="shared" ref="Q78" si="26">SUM(Q58:Q77)</f>
        <v>0</v>
      </c>
      <c r="R78" s="226">
        <f t="shared" si="25"/>
        <v>0</v>
      </c>
      <c r="S78" s="188"/>
      <c r="T78" s="188"/>
      <c r="U78" s="189"/>
    </row>
    <row r="79" spans="1:21" x14ac:dyDescent="0.35">
      <c r="A79" s="693"/>
      <c r="B79" s="218" t="s">
        <v>17</v>
      </c>
      <c r="C79" s="227"/>
      <c r="D79" s="226">
        <f>D78*Maksumäärad!B5</f>
        <v>0</v>
      </c>
      <c r="E79" s="226">
        <f>E78*Maksumäärad!C5</f>
        <v>0</v>
      </c>
      <c r="F79" s="226">
        <f>F78*Maksumäärad!D5</f>
        <v>0</v>
      </c>
      <c r="G79" s="226">
        <f>G78*Maksumäärad!E5</f>
        <v>0</v>
      </c>
      <c r="H79" s="226">
        <f>H78*Maksumäärad!F5</f>
        <v>0</v>
      </c>
      <c r="I79" s="226">
        <f>I78*Maksumäärad!G5</f>
        <v>0</v>
      </c>
      <c r="J79" s="226">
        <f>J78*Maksumäärad!H5</f>
        <v>0</v>
      </c>
      <c r="K79" s="226">
        <f>K78*Maksumäärad!I5</f>
        <v>0</v>
      </c>
      <c r="L79" s="226">
        <f>L78*Maksumäärad!J5</f>
        <v>0</v>
      </c>
      <c r="M79" s="226">
        <f>M78*Maksumäärad!K5</f>
        <v>0</v>
      </c>
      <c r="N79" s="226">
        <f>N78*Maksumäärad!L5</f>
        <v>0</v>
      </c>
      <c r="O79" s="226">
        <f>O78*Maksumäärad!M5</f>
        <v>0</v>
      </c>
      <c r="P79" s="226">
        <f>P78*Maksumäärad!N5</f>
        <v>0</v>
      </c>
      <c r="Q79" s="226">
        <f>Q78*Maksumäärad!O5</f>
        <v>0</v>
      </c>
      <c r="R79" s="226">
        <f>R78*Maksumäärad!P5</f>
        <v>0</v>
      </c>
      <c r="S79" s="188"/>
      <c r="T79" s="188"/>
      <c r="U79" s="189"/>
    </row>
    <row r="80" spans="1:21" x14ac:dyDescent="0.35">
      <c r="A80" s="694" t="s">
        <v>19</v>
      </c>
      <c r="B80" s="695"/>
      <c r="C80" s="228"/>
      <c r="D80" s="229">
        <f t="shared" ref="D80:R80" si="27">SUM(D78:D79)</f>
        <v>0</v>
      </c>
      <c r="E80" s="229">
        <f t="shared" si="27"/>
        <v>0</v>
      </c>
      <c r="F80" s="229">
        <f t="shared" si="27"/>
        <v>0</v>
      </c>
      <c r="G80" s="229">
        <f t="shared" si="27"/>
        <v>0</v>
      </c>
      <c r="H80" s="229">
        <f t="shared" si="27"/>
        <v>0</v>
      </c>
      <c r="I80" s="229">
        <f t="shared" si="27"/>
        <v>0</v>
      </c>
      <c r="J80" s="229">
        <f t="shared" si="27"/>
        <v>0</v>
      </c>
      <c r="K80" s="229">
        <f t="shared" si="27"/>
        <v>0</v>
      </c>
      <c r="L80" s="229">
        <f t="shared" si="27"/>
        <v>0</v>
      </c>
      <c r="M80" s="229">
        <f t="shared" si="27"/>
        <v>0</v>
      </c>
      <c r="N80" s="229">
        <f t="shared" si="27"/>
        <v>0</v>
      </c>
      <c r="O80" s="229">
        <f t="shared" si="27"/>
        <v>0</v>
      </c>
      <c r="P80" s="229">
        <f t="shared" si="27"/>
        <v>0</v>
      </c>
      <c r="Q80" s="229">
        <f t="shared" ref="Q80" si="28">SUM(Q78:Q79)</f>
        <v>0</v>
      </c>
      <c r="R80" s="229">
        <f t="shared" si="27"/>
        <v>0</v>
      </c>
      <c r="S80" s="188"/>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1" x14ac:dyDescent="0.35">
      <c r="A82" s="693" t="str">
        <f>'2. Tulud-kulud projektiga'!A82:A91</f>
        <v>Halduskulud</v>
      </c>
      <c r="B82" s="218">
        <f>'2. Tulud-kulud projektiga'!B82</f>
        <v>0</v>
      </c>
      <c r="C82" s="219" t="s">
        <v>3</v>
      </c>
      <c r="D82" s="173"/>
      <c r="E82" s="173"/>
      <c r="F82" s="173"/>
      <c r="G82" s="173"/>
      <c r="H82" s="173"/>
      <c r="I82" s="173"/>
      <c r="J82" s="173"/>
      <c r="K82" s="173"/>
      <c r="L82" s="173"/>
      <c r="M82" s="173"/>
      <c r="N82" s="173"/>
      <c r="O82" s="173"/>
      <c r="P82" s="173"/>
      <c r="Q82" s="173"/>
      <c r="R82" s="173"/>
      <c r="S82" s="188"/>
      <c r="T82" s="188"/>
      <c r="U82" s="189"/>
    </row>
    <row r="83" spans="1:21" x14ac:dyDescent="0.35">
      <c r="A83" s="693"/>
      <c r="B83" s="218">
        <f>'2. Tulud-kulud projektiga'!B83</f>
        <v>0</v>
      </c>
      <c r="C83" s="219" t="s">
        <v>3</v>
      </c>
      <c r="D83" s="173"/>
      <c r="E83" s="173"/>
      <c r="F83" s="173"/>
      <c r="G83" s="173"/>
      <c r="H83" s="173"/>
      <c r="I83" s="173"/>
      <c r="J83" s="173"/>
      <c r="K83" s="173"/>
      <c r="L83" s="173"/>
      <c r="M83" s="173"/>
      <c r="N83" s="173"/>
      <c r="O83" s="173"/>
      <c r="P83" s="173"/>
      <c r="Q83" s="173"/>
      <c r="R83" s="173"/>
      <c r="S83" s="188"/>
      <c r="T83" s="188"/>
      <c r="U83" s="189"/>
    </row>
    <row r="84" spans="1:21" x14ac:dyDescent="0.35">
      <c r="A84" s="693"/>
      <c r="B84" s="218">
        <f>'2. Tulud-kulud projektiga'!B84</f>
        <v>0</v>
      </c>
      <c r="C84" s="219" t="s">
        <v>3</v>
      </c>
      <c r="D84" s="173"/>
      <c r="E84" s="173"/>
      <c r="F84" s="173"/>
      <c r="G84" s="173"/>
      <c r="H84" s="173"/>
      <c r="I84" s="173"/>
      <c r="J84" s="173"/>
      <c r="K84" s="173"/>
      <c r="L84" s="173"/>
      <c r="M84" s="173"/>
      <c r="N84" s="173"/>
      <c r="O84" s="173"/>
      <c r="P84" s="173"/>
      <c r="Q84" s="173"/>
      <c r="R84" s="173"/>
      <c r="S84" s="188"/>
      <c r="T84" s="188"/>
      <c r="U84" s="189"/>
    </row>
    <row r="85" spans="1:21" x14ac:dyDescent="0.35">
      <c r="A85" s="693"/>
      <c r="B85" s="218">
        <f>'2. Tulud-kulud projektiga'!B85</f>
        <v>0</v>
      </c>
      <c r="C85" s="219" t="s">
        <v>3</v>
      </c>
      <c r="D85" s="173"/>
      <c r="E85" s="173"/>
      <c r="F85" s="173"/>
      <c r="G85" s="173"/>
      <c r="H85" s="173"/>
      <c r="I85" s="173"/>
      <c r="J85" s="173"/>
      <c r="K85" s="173"/>
      <c r="L85" s="173"/>
      <c r="M85" s="173"/>
      <c r="N85" s="173"/>
      <c r="O85" s="173"/>
      <c r="P85" s="173"/>
      <c r="Q85" s="173"/>
      <c r="R85" s="173"/>
      <c r="S85" s="188"/>
      <c r="T85" s="188"/>
      <c r="U85" s="189"/>
    </row>
    <row r="86" spans="1:21" x14ac:dyDescent="0.35">
      <c r="A86" s="693"/>
      <c r="B86" s="218">
        <f>'2. Tulud-kulud projektiga'!B86</f>
        <v>0</v>
      </c>
      <c r="C86" s="219" t="s">
        <v>3</v>
      </c>
      <c r="D86" s="173"/>
      <c r="E86" s="173"/>
      <c r="F86" s="173"/>
      <c r="G86" s="173"/>
      <c r="H86" s="173"/>
      <c r="I86" s="173"/>
      <c r="J86" s="173"/>
      <c r="K86" s="173"/>
      <c r="L86" s="173"/>
      <c r="M86" s="173"/>
      <c r="N86" s="173"/>
      <c r="O86" s="173"/>
      <c r="P86" s="173"/>
      <c r="Q86" s="173"/>
      <c r="R86" s="173"/>
      <c r="S86" s="188"/>
      <c r="T86" s="188"/>
      <c r="U86" s="189"/>
    </row>
    <row r="87" spans="1:21" x14ac:dyDescent="0.35">
      <c r="A87" s="693"/>
      <c r="B87" s="218">
        <f>'2. Tulud-kulud projektiga'!B87</f>
        <v>0</v>
      </c>
      <c r="C87" s="219" t="s">
        <v>3</v>
      </c>
      <c r="D87" s="173"/>
      <c r="E87" s="173"/>
      <c r="F87" s="173"/>
      <c r="G87" s="173"/>
      <c r="H87" s="173"/>
      <c r="I87" s="173"/>
      <c r="J87" s="173"/>
      <c r="K87" s="173"/>
      <c r="L87" s="173"/>
      <c r="M87" s="173"/>
      <c r="N87" s="173"/>
      <c r="O87" s="173"/>
      <c r="P87" s="173"/>
      <c r="Q87" s="173"/>
      <c r="R87" s="173"/>
      <c r="S87" s="188"/>
      <c r="T87" s="188"/>
      <c r="U87" s="189"/>
    </row>
    <row r="88" spans="1:21" x14ac:dyDescent="0.35">
      <c r="A88" s="693"/>
      <c r="B88" s="218" t="str">
        <f>'2. Tulud-kulud projektiga'!B88</f>
        <v>Halduskulu 7</v>
      </c>
      <c r="C88" s="219" t="s">
        <v>3</v>
      </c>
      <c r="D88" s="173"/>
      <c r="E88" s="173"/>
      <c r="F88" s="173"/>
      <c r="G88" s="173"/>
      <c r="H88" s="173"/>
      <c r="I88" s="173"/>
      <c r="J88" s="173"/>
      <c r="K88" s="173"/>
      <c r="L88" s="173"/>
      <c r="M88" s="173"/>
      <c r="N88" s="173"/>
      <c r="O88" s="173"/>
      <c r="P88" s="173"/>
      <c r="Q88" s="173"/>
      <c r="R88" s="173"/>
      <c r="S88" s="188"/>
      <c r="T88" s="188"/>
      <c r="U88" s="189"/>
    </row>
    <row r="89" spans="1:21" x14ac:dyDescent="0.35">
      <c r="A89" s="693"/>
      <c r="B89" s="218" t="str">
        <f>'2. Tulud-kulud projektiga'!B89</f>
        <v>Halduskulu 8</v>
      </c>
      <c r="C89" s="219" t="s">
        <v>3</v>
      </c>
      <c r="D89" s="173"/>
      <c r="E89" s="173"/>
      <c r="F89" s="173"/>
      <c r="G89" s="173"/>
      <c r="H89" s="173"/>
      <c r="I89" s="173"/>
      <c r="J89" s="173"/>
      <c r="K89" s="173"/>
      <c r="L89" s="173"/>
      <c r="M89" s="173"/>
      <c r="N89" s="173"/>
      <c r="O89" s="173"/>
      <c r="P89" s="173"/>
      <c r="Q89" s="173"/>
      <c r="R89" s="173"/>
      <c r="S89" s="188"/>
      <c r="T89" s="188"/>
      <c r="U89" s="189"/>
    </row>
    <row r="90" spans="1:21" x14ac:dyDescent="0.35">
      <c r="A90" s="693"/>
      <c r="B90" s="218" t="str">
        <f>'2. Tulud-kulud projektiga'!B90</f>
        <v>Halduskulu 9</v>
      </c>
      <c r="C90" s="219" t="s">
        <v>3</v>
      </c>
      <c r="D90" s="173"/>
      <c r="E90" s="173"/>
      <c r="F90" s="173"/>
      <c r="G90" s="173"/>
      <c r="H90" s="173"/>
      <c r="I90" s="173"/>
      <c r="J90" s="173"/>
      <c r="K90" s="173"/>
      <c r="L90" s="173"/>
      <c r="M90" s="173"/>
      <c r="N90" s="173"/>
      <c r="O90" s="173"/>
      <c r="P90" s="173"/>
      <c r="Q90" s="173"/>
      <c r="R90" s="173"/>
      <c r="S90" s="188"/>
      <c r="T90" s="188"/>
      <c r="U90" s="189"/>
    </row>
    <row r="91" spans="1:21" x14ac:dyDescent="0.35">
      <c r="A91" s="693"/>
      <c r="B91" s="218" t="str">
        <f>'2. Tulud-kulud projektiga'!B91</f>
        <v>Halduskulu 10</v>
      </c>
      <c r="C91" s="219" t="s">
        <v>3</v>
      </c>
      <c r="D91" s="173"/>
      <c r="E91" s="173"/>
      <c r="F91" s="173"/>
      <c r="G91" s="173"/>
      <c r="H91" s="173"/>
      <c r="I91" s="173"/>
      <c r="J91" s="173"/>
      <c r="K91" s="173"/>
      <c r="L91" s="173"/>
      <c r="M91" s="173"/>
      <c r="N91" s="173"/>
      <c r="O91" s="173"/>
      <c r="P91" s="173"/>
      <c r="Q91" s="173"/>
      <c r="R91" s="173"/>
      <c r="S91" s="188"/>
      <c r="T91" s="188"/>
      <c r="U91" s="189"/>
    </row>
    <row r="92" spans="1:21" x14ac:dyDescent="0.35">
      <c r="A92" s="694" t="str">
        <f>'2. Tulud-kulud projektiga'!A92:B92</f>
        <v>Halduskulud kokku</v>
      </c>
      <c r="B92" s="695"/>
      <c r="C92" s="228"/>
      <c r="D92" s="229">
        <f t="shared" ref="D92:R92" si="29">SUM(D82:D91)</f>
        <v>0</v>
      </c>
      <c r="E92" s="229">
        <f t="shared" si="29"/>
        <v>0</v>
      </c>
      <c r="F92" s="229">
        <f t="shared" si="29"/>
        <v>0</v>
      </c>
      <c r="G92" s="229">
        <f t="shared" si="29"/>
        <v>0</v>
      </c>
      <c r="H92" s="229">
        <f t="shared" si="29"/>
        <v>0</v>
      </c>
      <c r="I92" s="229">
        <f t="shared" si="29"/>
        <v>0</v>
      </c>
      <c r="J92" s="229">
        <f t="shared" si="29"/>
        <v>0</v>
      </c>
      <c r="K92" s="229">
        <f t="shared" si="29"/>
        <v>0</v>
      </c>
      <c r="L92" s="229">
        <f t="shared" si="29"/>
        <v>0</v>
      </c>
      <c r="M92" s="229">
        <f t="shared" si="29"/>
        <v>0</v>
      </c>
      <c r="N92" s="229">
        <f t="shared" si="29"/>
        <v>0</v>
      </c>
      <c r="O92" s="229">
        <f t="shared" si="29"/>
        <v>0</v>
      </c>
      <c r="P92" s="229">
        <f t="shared" si="29"/>
        <v>0</v>
      </c>
      <c r="Q92" s="229">
        <f t="shared" si="29"/>
        <v>0</v>
      </c>
      <c r="R92" s="229">
        <f t="shared" si="29"/>
        <v>0</v>
      </c>
      <c r="S92" s="188"/>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1" x14ac:dyDescent="0.35">
      <c r="A94" s="701" t="str">
        <f>'2. Tulud-kulud projektiga'!A94:A103</f>
        <v>Turunduskulud</v>
      </c>
      <c r="B94" s="218" t="str">
        <f>'2. Tulud-kulud projektiga'!B94</f>
        <v>Turunduskulud</v>
      </c>
      <c r="C94" s="219" t="s">
        <v>3</v>
      </c>
      <c r="D94" s="173"/>
      <c r="E94" s="173"/>
      <c r="F94" s="173"/>
      <c r="G94" s="173"/>
      <c r="H94" s="173"/>
      <c r="I94" s="173"/>
      <c r="J94" s="173"/>
      <c r="K94" s="173"/>
      <c r="L94" s="173"/>
      <c r="M94" s="173"/>
      <c r="N94" s="173"/>
      <c r="O94" s="173"/>
      <c r="P94" s="173"/>
      <c r="Q94" s="173"/>
      <c r="R94" s="173"/>
      <c r="S94" s="188"/>
      <c r="T94" s="188"/>
      <c r="U94" s="189"/>
    </row>
    <row r="95" spans="1:21" x14ac:dyDescent="0.35">
      <c r="A95" s="702"/>
      <c r="B95" s="218" t="str">
        <f>'2. Tulud-kulud projektiga'!B95</f>
        <v>Kulu 2</v>
      </c>
      <c r="C95" s="219" t="s">
        <v>3</v>
      </c>
      <c r="D95" s="173"/>
      <c r="E95" s="173"/>
      <c r="F95" s="173"/>
      <c r="G95" s="173"/>
      <c r="H95" s="173"/>
      <c r="I95" s="173"/>
      <c r="J95" s="173"/>
      <c r="K95" s="173"/>
      <c r="L95" s="173"/>
      <c r="M95" s="173"/>
      <c r="N95" s="173"/>
      <c r="O95" s="173"/>
      <c r="P95" s="173"/>
      <c r="Q95" s="173"/>
      <c r="R95" s="173"/>
      <c r="S95" s="188"/>
      <c r="T95" s="188"/>
      <c r="U95" s="189"/>
    </row>
    <row r="96" spans="1:21" x14ac:dyDescent="0.35">
      <c r="A96" s="702"/>
      <c r="B96" s="218" t="str">
        <f>'2. Tulud-kulud projektiga'!B96</f>
        <v>Kulu 3</v>
      </c>
      <c r="C96" s="219" t="s">
        <v>3</v>
      </c>
      <c r="D96" s="173"/>
      <c r="E96" s="173"/>
      <c r="F96" s="173"/>
      <c r="G96" s="173"/>
      <c r="H96" s="173"/>
      <c r="I96" s="173"/>
      <c r="J96" s="173"/>
      <c r="K96" s="173"/>
      <c r="L96" s="173"/>
      <c r="M96" s="173"/>
      <c r="N96" s="173"/>
      <c r="O96" s="173"/>
      <c r="P96" s="173"/>
      <c r="Q96" s="173"/>
      <c r="R96" s="173"/>
      <c r="S96" s="188"/>
      <c r="T96" s="188"/>
      <c r="U96" s="189"/>
    </row>
    <row r="97" spans="1:21" x14ac:dyDescent="0.35">
      <c r="A97" s="702"/>
      <c r="B97" s="218" t="str">
        <f>'2. Tulud-kulud projektiga'!B97</f>
        <v>Kulu 4</v>
      </c>
      <c r="C97" s="219" t="s">
        <v>3</v>
      </c>
      <c r="D97" s="173"/>
      <c r="E97" s="173"/>
      <c r="F97" s="173"/>
      <c r="G97" s="173"/>
      <c r="H97" s="173"/>
      <c r="I97" s="173"/>
      <c r="J97" s="173"/>
      <c r="K97" s="173"/>
      <c r="L97" s="173"/>
      <c r="M97" s="173"/>
      <c r="N97" s="173"/>
      <c r="O97" s="173"/>
      <c r="P97" s="173"/>
      <c r="Q97" s="173"/>
      <c r="R97" s="173"/>
      <c r="S97" s="188"/>
      <c r="T97" s="188"/>
      <c r="U97" s="189"/>
    </row>
    <row r="98" spans="1:21" x14ac:dyDescent="0.35">
      <c r="A98" s="702"/>
      <c r="B98" s="218" t="str">
        <f>'2. Tulud-kulud projektiga'!B98</f>
        <v>Kulu 5</v>
      </c>
      <c r="C98" s="219" t="s">
        <v>3</v>
      </c>
      <c r="D98" s="173"/>
      <c r="E98" s="173"/>
      <c r="F98" s="173"/>
      <c r="G98" s="173"/>
      <c r="H98" s="173"/>
      <c r="I98" s="173"/>
      <c r="J98" s="173"/>
      <c r="K98" s="173"/>
      <c r="L98" s="173"/>
      <c r="M98" s="173"/>
      <c r="N98" s="173"/>
      <c r="O98" s="173"/>
      <c r="P98" s="173"/>
      <c r="Q98" s="173"/>
      <c r="R98" s="173"/>
      <c r="S98" s="188"/>
      <c r="T98" s="188"/>
      <c r="U98" s="189"/>
    </row>
    <row r="99" spans="1:21" hidden="1" outlineLevel="1" x14ac:dyDescent="0.35">
      <c r="A99" s="702"/>
      <c r="B99" s="218" t="str">
        <f>'2. Tulud-kulud projektiga'!B99</f>
        <v>Kulu 6</v>
      </c>
      <c r="C99" s="219" t="s">
        <v>3</v>
      </c>
      <c r="D99" s="173"/>
      <c r="E99" s="173"/>
      <c r="F99" s="173"/>
      <c r="G99" s="173"/>
      <c r="H99" s="173"/>
      <c r="I99" s="173"/>
      <c r="J99" s="173"/>
      <c r="K99" s="173"/>
      <c r="L99" s="173"/>
      <c r="M99" s="173"/>
      <c r="N99" s="173"/>
      <c r="O99" s="173"/>
      <c r="P99" s="173"/>
      <c r="Q99" s="173"/>
      <c r="R99" s="173"/>
      <c r="S99" s="188"/>
      <c r="T99" s="188"/>
      <c r="U99" s="189"/>
    </row>
    <row r="100" spans="1:21" hidden="1" outlineLevel="1" x14ac:dyDescent="0.35">
      <c r="A100" s="702"/>
      <c r="B100" s="218" t="str">
        <f>'2. Tulud-kulud projektiga'!B100</f>
        <v>Kulu 7</v>
      </c>
      <c r="C100" s="219" t="s">
        <v>3</v>
      </c>
      <c r="D100" s="173"/>
      <c r="E100" s="173"/>
      <c r="F100" s="173"/>
      <c r="G100" s="173"/>
      <c r="H100" s="173"/>
      <c r="I100" s="173"/>
      <c r="J100" s="173"/>
      <c r="K100" s="173"/>
      <c r="L100" s="173"/>
      <c r="M100" s="173"/>
      <c r="N100" s="173"/>
      <c r="O100" s="173"/>
      <c r="P100" s="173"/>
      <c r="Q100" s="173"/>
      <c r="R100" s="173"/>
      <c r="S100" s="188"/>
      <c r="T100" s="188"/>
      <c r="U100" s="189"/>
    </row>
    <row r="101" spans="1:21" hidden="1" outlineLevel="1" x14ac:dyDescent="0.35">
      <c r="A101" s="702"/>
      <c r="B101" s="218" t="str">
        <f>'2. Tulud-kulud projektiga'!B101</f>
        <v>Kulu 8</v>
      </c>
      <c r="C101" s="219" t="s">
        <v>3</v>
      </c>
      <c r="D101" s="173"/>
      <c r="E101" s="173"/>
      <c r="F101" s="173"/>
      <c r="G101" s="173"/>
      <c r="H101" s="173"/>
      <c r="I101" s="173"/>
      <c r="J101" s="173"/>
      <c r="K101" s="173"/>
      <c r="L101" s="173"/>
      <c r="M101" s="173"/>
      <c r="N101" s="173"/>
      <c r="O101" s="173"/>
      <c r="P101" s="173"/>
      <c r="Q101" s="173"/>
      <c r="R101" s="173"/>
      <c r="S101" s="188"/>
      <c r="T101" s="188"/>
      <c r="U101" s="189"/>
    </row>
    <row r="102" spans="1:21" hidden="1" outlineLevel="1" x14ac:dyDescent="0.35">
      <c r="A102" s="702"/>
      <c r="B102" s="218" t="str">
        <f>'2. Tulud-kulud projektiga'!B102</f>
        <v>Kulu 9</v>
      </c>
      <c r="C102" s="219" t="s">
        <v>3</v>
      </c>
      <c r="D102" s="173"/>
      <c r="E102" s="173"/>
      <c r="F102" s="173"/>
      <c r="G102" s="173"/>
      <c r="H102" s="173"/>
      <c r="I102" s="173"/>
      <c r="J102" s="173"/>
      <c r="K102" s="173"/>
      <c r="L102" s="173"/>
      <c r="M102" s="173"/>
      <c r="N102" s="173"/>
      <c r="O102" s="173"/>
      <c r="P102" s="173"/>
      <c r="Q102" s="173"/>
      <c r="R102" s="173"/>
      <c r="S102" s="188"/>
      <c r="T102" s="188"/>
      <c r="U102" s="189"/>
    </row>
    <row r="103" spans="1:21" hidden="1" outlineLevel="1" x14ac:dyDescent="0.35">
      <c r="A103" s="703"/>
      <c r="B103" s="218" t="str">
        <f>'2. Tulud-kulud projektiga'!B103</f>
        <v>Kulu 10</v>
      </c>
      <c r="C103" s="219"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collapsed="1" x14ac:dyDescent="0.35">
      <c r="A104" s="694" t="str">
        <f>'2. Tulud-kulud projektiga'!A104:B104</f>
        <v>Turunduskulud kokku</v>
      </c>
      <c r="B104" s="695"/>
      <c r="C104" s="228"/>
      <c r="D104" s="229">
        <f t="shared" ref="D104:R104" si="30">SUM(D94:D103)</f>
        <v>0</v>
      </c>
      <c r="E104" s="229">
        <f t="shared" si="30"/>
        <v>0</v>
      </c>
      <c r="F104" s="229">
        <f t="shared" si="30"/>
        <v>0</v>
      </c>
      <c r="G104" s="229">
        <f t="shared" si="30"/>
        <v>0</v>
      </c>
      <c r="H104" s="229">
        <f t="shared" si="30"/>
        <v>0</v>
      </c>
      <c r="I104" s="229">
        <f t="shared" si="30"/>
        <v>0</v>
      </c>
      <c r="J104" s="229">
        <f t="shared" si="30"/>
        <v>0</v>
      </c>
      <c r="K104" s="229">
        <f t="shared" si="30"/>
        <v>0</v>
      </c>
      <c r="L104" s="229">
        <f t="shared" si="30"/>
        <v>0</v>
      </c>
      <c r="M104" s="229">
        <f t="shared" si="30"/>
        <v>0</v>
      </c>
      <c r="N104" s="229">
        <f t="shared" si="30"/>
        <v>0</v>
      </c>
      <c r="O104" s="229">
        <f t="shared" si="30"/>
        <v>0</v>
      </c>
      <c r="P104" s="229">
        <f t="shared" si="30"/>
        <v>0</v>
      </c>
      <c r="Q104" s="229">
        <f t="shared" si="30"/>
        <v>0</v>
      </c>
      <c r="R104" s="229">
        <f t="shared" si="30"/>
        <v>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700" t="str">
        <f>'2. Tulud-kulud projektiga'!A106:B106</f>
        <v>Maamaks</v>
      </c>
      <c r="B106" s="700"/>
      <c r="C106" s="219" t="s">
        <v>3</v>
      </c>
      <c r="D106" s="173"/>
      <c r="E106" s="173"/>
      <c r="F106" s="173"/>
      <c r="G106" s="173"/>
      <c r="H106" s="173"/>
      <c r="I106" s="173"/>
      <c r="J106" s="173"/>
      <c r="K106" s="173"/>
      <c r="L106" s="173"/>
      <c r="M106" s="173"/>
      <c r="N106" s="173"/>
      <c r="O106" s="173"/>
      <c r="P106" s="173"/>
      <c r="Q106" s="173"/>
      <c r="R106" s="173"/>
      <c r="S106" s="188"/>
      <c r="T106" s="188"/>
      <c r="U106" s="189"/>
    </row>
    <row r="107" spans="1:21" ht="16.5" customHeight="1" x14ac:dyDescent="0.35">
      <c r="A107" s="700" t="str">
        <f>'2. Tulud-kulud projektiga'!A107:B107</f>
        <v>Maa müügiga seotud maksud</v>
      </c>
      <c r="B107" s="700"/>
      <c r="C107" s="219" t="s">
        <v>3</v>
      </c>
      <c r="D107" s="173"/>
      <c r="E107" s="173"/>
      <c r="F107" s="173"/>
      <c r="G107" s="173"/>
      <c r="H107" s="173"/>
      <c r="I107" s="173"/>
      <c r="J107" s="173"/>
      <c r="K107" s="173"/>
      <c r="L107" s="173"/>
      <c r="M107" s="173"/>
      <c r="N107" s="173"/>
      <c r="O107" s="173"/>
      <c r="P107" s="173"/>
      <c r="Q107" s="173"/>
      <c r="R107" s="173"/>
      <c r="S107" s="188"/>
      <c r="T107" s="188"/>
      <c r="U107" s="189"/>
    </row>
    <row r="108" spans="1:21" ht="16.5" customHeight="1" x14ac:dyDescent="0.35">
      <c r="A108" s="700" t="str">
        <f>'2. Tulud-kulud projektiga'!A108:B108</f>
        <v>Tänavavalgustus</v>
      </c>
      <c r="B108" s="700"/>
      <c r="C108" s="219" t="s">
        <v>3</v>
      </c>
      <c r="D108" s="173"/>
      <c r="E108" s="173"/>
      <c r="F108" s="173"/>
      <c r="G108" s="173"/>
      <c r="H108" s="173"/>
      <c r="I108" s="173"/>
      <c r="J108" s="173"/>
      <c r="K108" s="173"/>
      <c r="L108" s="173"/>
      <c r="M108" s="173"/>
      <c r="N108" s="173"/>
      <c r="O108" s="173"/>
      <c r="P108" s="173"/>
      <c r="Q108" s="173"/>
      <c r="R108" s="173"/>
      <c r="S108" s="188"/>
      <c r="T108" s="188"/>
      <c r="U108" s="189"/>
    </row>
    <row r="109" spans="1:21" ht="16.5" customHeight="1" x14ac:dyDescent="0.35">
      <c r="A109" s="700" t="str">
        <f>'2. Tulud-kulud projektiga'!A109:B109</f>
        <v>Territooriumi korrashoid</v>
      </c>
      <c r="B109" s="700"/>
      <c r="C109" s="219" t="s">
        <v>3</v>
      </c>
      <c r="D109" s="173"/>
      <c r="E109" s="173"/>
      <c r="F109" s="173"/>
      <c r="G109" s="173"/>
      <c r="H109" s="173"/>
      <c r="I109" s="173"/>
      <c r="J109" s="173"/>
      <c r="K109" s="173"/>
      <c r="L109" s="173"/>
      <c r="M109" s="173"/>
      <c r="N109" s="173"/>
      <c r="O109" s="173"/>
      <c r="P109" s="173"/>
      <c r="Q109" s="173"/>
      <c r="R109" s="173"/>
      <c r="S109" s="188"/>
      <c r="T109" s="188"/>
      <c r="U109" s="189"/>
    </row>
    <row r="110" spans="1:21" ht="16.5" customHeight="1" x14ac:dyDescent="0.35">
      <c r="A110" s="700">
        <f>'2. Tulud-kulud projektiga'!A110:B110</f>
        <v>0</v>
      </c>
      <c r="B110" s="700"/>
      <c r="C110" s="219" t="s">
        <v>3</v>
      </c>
      <c r="D110" s="173"/>
      <c r="E110" s="173"/>
      <c r="F110" s="173"/>
      <c r="G110" s="173"/>
      <c r="H110" s="173"/>
      <c r="I110" s="173"/>
      <c r="J110" s="173"/>
      <c r="K110" s="173"/>
      <c r="L110" s="173"/>
      <c r="M110" s="173"/>
      <c r="N110" s="173"/>
      <c r="O110" s="173"/>
      <c r="P110" s="173"/>
      <c r="Q110" s="173"/>
      <c r="R110" s="173"/>
      <c r="S110" s="188"/>
      <c r="T110" s="188"/>
      <c r="U110" s="189"/>
    </row>
    <row r="111" spans="1:21" ht="16.5" hidden="1" customHeight="1" outlineLevel="1" x14ac:dyDescent="0.35">
      <c r="A111" s="700" t="str">
        <f>'2. Tulud-kulud projektiga'!A111:B111</f>
        <v>Teede remont</v>
      </c>
      <c r="B111" s="700"/>
      <c r="C111" s="219" t="s">
        <v>3</v>
      </c>
      <c r="D111" s="173"/>
      <c r="E111" s="173"/>
      <c r="F111" s="173"/>
      <c r="G111" s="173"/>
      <c r="H111" s="173"/>
      <c r="I111" s="173"/>
      <c r="J111" s="173"/>
      <c r="K111" s="173"/>
      <c r="L111" s="173"/>
      <c r="M111" s="173"/>
      <c r="N111" s="173"/>
      <c r="O111" s="173"/>
      <c r="P111" s="173"/>
      <c r="Q111" s="173"/>
      <c r="R111" s="173"/>
      <c r="S111" s="188"/>
      <c r="T111" s="188"/>
      <c r="U111" s="189"/>
    </row>
    <row r="112" spans="1:21" ht="16.5" hidden="1" customHeight="1" outlineLevel="1" x14ac:dyDescent="0.35">
      <c r="A112" s="700">
        <f>'2. Tulud-kulud projektiga'!A112:B112</f>
        <v>0</v>
      </c>
      <c r="B112" s="700"/>
      <c r="C112" s="219" t="s">
        <v>3</v>
      </c>
      <c r="D112" s="173"/>
      <c r="E112" s="173"/>
      <c r="F112" s="173"/>
      <c r="G112" s="173"/>
      <c r="H112" s="173"/>
      <c r="I112" s="173"/>
      <c r="J112" s="173"/>
      <c r="K112" s="173"/>
      <c r="L112" s="173"/>
      <c r="M112" s="173"/>
      <c r="N112" s="173"/>
      <c r="O112" s="173"/>
      <c r="P112" s="173"/>
      <c r="Q112" s="173"/>
      <c r="R112" s="173"/>
      <c r="S112" s="188"/>
      <c r="T112" s="188"/>
      <c r="U112" s="189"/>
    </row>
    <row r="113" spans="1:21" ht="16.5" hidden="1" customHeight="1" outlineLevel="1" x14ac:dyDescent="0.35">
      <c r="A113" s="700" t="str">
        <f>'2. Tulud-kulud projektiga'!A113:B113</f>
        <v>Muu kulu 8</v>
      </c>
      <c r="B113" s="700"/>
      <c r="C113" s="219"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700" t="str">
        <f>'2. Tulud-kulud projektiga'!A114:B114</f>
        <v>Muu kulu 9</v>
      </c>
      <c r="B114" s="700"/>
      <c r="C114" s="219"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700" t="str">
        <f>'2. Tulud-kulud projektiga'!A115:B115</f>
        <v>Muu kulu 10</v>
      </c>
      <c r="B115" s="700"/>
      <c r="C115" s="219"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694" t="str">
        <f>'2. Tulud-kulud projektiga'!A116:B116</f>
        <v>Muud kulud kokku</v>
      </c>
      <c r="B116" s="695"/>
      <c r="C116" s="224" t="s">
        <v>3</v>
      </c>
      <c r="D116" s="229">
        <f t="shared" ref="D116:R116" si="31">SUM(D106:D115)</f>
        <v>0</v>
      </c>
      <c r="E116" s="229">
        <f t="shared" si="31"/>
        <v>0</v>
      </c>
      <c r="F116" s="229">
        <f t="shared" si="31"/>
        <v>0</v>
      </c>
      <c r="G116" s="229">
        <f t="shared" si="31"/>
        <v>0</v>
      </c>
      <c r="H116" s="229">
        <f t="shared" si="31"/>
        <v>0</v>
      </c>
      <c r="I116" s="229">
        <f t="shared" si="31"/>
        <v>0</v>
      </c>
      <c r="J116" s="229">
        <f t="shared" si="31"/>
        <v>0</v>
      </c>
      <c r="K116" s="229">
        <f t="shared" si="31"/>
        <v>0</v>
      </c>
      <c r="L116" s="229">
        <f t="shared" si="31"/>
        <v>0</v>
      </c>
      <c r="M116" s="229">
        <f t="shared" si="31"/>
        <v>0</v>
      </c>
      <c r="N116" s="229">
        <f t="shared" si="31"/>
        <v>0</v>
      </c>
      <c r="O116" s="229">
        <f t="shared" si="31"/>
        <v>0</v>
      </c>
      <c r="P116" s="229">
        <f t="shared" si="31"/>
        <v>0</v>
      </c>
      <c r="Q116" s="229">
        <f t="shared" ref="Q116" si="32">SUM(Q106:Q115)</f>
        <v>0</v>
      </c>
      <c r="R116" s="229">
        <f t="shared" si="31"/>
        <v>0</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19.5" customHeight="1" x14ac:dyDescent="0.35">
      <c r="A118" s="704" t="s">
        <v>30</v>
      </c>
      <c r="B118" s="705"/>
      <c r="C118" s="230" t="s">
        <v>3</v>
      </c>
      <c r="D118" s="225">
        <f t="shared" ref="D118:R118" si="33">D80+D92+D104+D116</f>
        <v>0</v>
      </c>
      <c r="E118" s="225">
        <f t="shared" si="33"/>
        <v>0</v>
      </c>
      <c r="F118" s="225">
        <f t="shared" si="33"/>
        <v>0</v>
      </c>
      <c r="G118" s="225">
        <f t="shared" si="33"/>
        <v>0</v>
      </c>
      <c r="H118" s="225">
        <f t="shared" si="33"/>
        <v>0</v>
      </c>
      <c r="I118" s="225">
        <f t="shared" si="33"/>
        <v>0</v>
      </c>
      <c r="J118" s="225">
        <f t="shared" si="33"/>
        <v>0</v>
      </c>
      <c r="K118" s="225">
        <f t="shared" si="33"/>
        <v>0</v>
      </c>
      <c r="L118" s="225">
        <f t="shared" si="33"/>
        <v>0</v>
      </c>
      <c r="M118" s="225">
        <f t="shared" si="33"/>
        <v>0</v>
      </c>
      <c r="N118" s="225">
        <f t="shared" si="33"/>
        <v>0</v>
      </c>
      <c r="O118" s="225">
        <f t="shared" si="33"/>
        <v>0</v>
      </c>
      <c r="P118" s="225">
        <f t="shared" si="33"/>
        <v>0</v>
      </c>
      <c r="Q118" s="225">
        <f t="shared" ref="Q118" si="34">Q80+Q92+Q104+Q116</f>
        <v>0</v>
      </c>
      <c r="R118" s="225">
        <f t="shared" si="33"/>
        <v>0</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23.2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682" t="s">
        <v>31</v>
      </c>
      <c r="B121" s="683"/>
      <c r="C121" s="205" t="s">
        <v>3</v>
      </c>
      <c r="D121" s="206">
        <f t="shared" ref="D121:R121" si="35">D53-D118</f>
        <v>0</v>
      </c>
      <c r="E121" s="206">
        <f t="shared" si="35"/>
        <v>0</v>
      </c>
      <c r="F121" s="206">
        <f t="shared" si="35"/>
        <v>0</v>
      </c>
      <c r="G121" s="206">
        <f t="shared" si="35"/>
        <v>0</v>
      </c>
      <c r="H121" s="206">
        <f t="shared" si="35"/>
        <v>0</v>
      </c>
      <c r="I121" s="206">
        <f t="shared" si="35"/>
        <v>0</v>
      </c>
      <c r="J121" s="206">
        <f t="shared" si="35"/>
        <v>0</v>
      </c>
      <c r="K121" s="206">
        <f t="shared" si="35"/>
        <v>0</v>
      </c>
      <c r="L121" s="206">
        <f t="shared" si="35"/>
        <v>0</v>
      </c>
      <c r="M121" s="206">
        <f t="shared" si="35"/>
        <v>0</v>
      </c>
      <c r="N121" s="206">
        <f t="shared" si="35"/>
        <v>0</v>
      </c>
      <c r="O121" s="206">
        <f t="shared" si="35"/>
        <v>0</v>
      </c>
      <c r="P121" s="206">
        <f t="shared" si="35"/>
        <v>0</v>
      </c>
      <c r="Q121" s="206">
        <f t="shared" ref="Q121" si="36">Q53-Q118</f>
        <v>0</v>
      </c>
      <c r="R121" s="206">
        <f t="shared" si="35"/>
        <v>0</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5.5" x14ac:dyDescent="0.35">
      <c r="A124" s="682" t="s">
        <v>171</v>
      </c>
      <c r="B124" s="683"/>
      <c r="C124" s="205" t="s">
        <v>3</v>
      </c>
      <c r="D124" s="206">
        <f>D121</f>
        <v>0</v>
      </c>
      <c r="E124" s="206">
        <f>D124+E121</f>
        <v>0</v>
      </c>
      <c r="F124" s="206">
        <f t="shared" ref="F124:P124" si="37">E124+F121</f>
        <v>0</v>
      </c>
      <c r="G124" s="206">
        <f t="shared" si="37"/>
        <v>0</v>
      </c>
      <c r="H124" s="206">
        <f t="shared" si="37"/>
        <v>0</v>
      </c>
      <c r="I124" s="206">
        <f t="shared" si="37"/>
        <v>0</v>
      </c>
      <c r="J124" s="206">
        <f t="shared" si="37"/>
        <v>0</v>
      </c>
      <c r="K124" s="206">
        <f t="shared" si="37"/>
        <v>0</v>
      </c>
      <c r="L124" s="206">
        <f t="shared" si="37"/>
        <v>0</v>
      </c>
      <c r="M124" s="206">
        <f t="shared" si="37"/>
        <v>0</v>
      </c>
      <c r="N124" s="206">
        <f t="shared" si="37"/>
        <v>0</v>
      </c>
      <c r="O124" s="206">
        <f t="shared" si="37"/>
        <v>0</v>
      </c>
      <c r="P124" s="206">
        <f t="shared" si="37"/>
        <v>0</v>
      </c>
      <c r="Q124" s="206">
        <f t="shared" ref="Q124" si="38">P124+Q121</f>
        <v>0</v>
      </c>
      <c r="R124" s="206">
        <f t="shared" ref="R124" si="39">Q124+R121</f>
        <v>0</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workbookViewId="0"/>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70</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 si="3">Q3+1</f>
        <v>2038</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59</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708" t="str">
        <f>'2. Tulud-kulud projektiga'!A7:A9</f>
        <v>Maa müük</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0</v>
      </c>
      <c r="G7" s="11">
        <f>'2. Tulud-kulud projektiga'!G7-'3. Tulud-kulud projektita'!G7</f>
        <v>7783</v>
      </c>
      <c r="H7" s="11">
        <f>'2. Tulud-kulud projektiga'!H7-'3. Tulud-kulud projektita'!H7</f>
        <v>5481</v>
      </c>
      <c r="I7" s="11">
        <f>'2. Tulud-kulud projektiga'!I7-'3. Tulud-kulud projektita'!I7</f>
        <v>3676</v>
      </c>
      <c r="J7" s="11">
        <f>'2. Tulud-kulud projektiga'!J7-'3. Tulud-kulud projektita'!J7</f>
        <v>3625</v>
      </c>
      <c r="K7" s="11">
        <f>'2. Tulud-kulud projektiga'!K7-'3. Tulud-kulud projektita'!K7</f>
        <v>3644</v>
      </c>
      <c r="L7" s="11">
        <f>'2. Tulud-kulud projektiga'!L7-'3. Tulud-kulud projektita'!L7</f>
        <v>5758</v>
      </c>
      <c r="M7" s="11">
        <f>'2. Tulud-kulud projektiga'!M7-'3. Tulud-kulud projektita'!M7</f>
        <v>5528</v>
      </c>
      <c r="N7" s="11">
        <f>'2. Tulud-kulud projektiga'!N7-'3. Tulud-kulud projektita'!N7</f>
        <v>6743</v>
      </c>
      <c r="O7" s="11">
        <f>'2. Tulud-kulud projektiga'!O7-'3. Tulud-kulud projektita'!O7</f>
        <v>3557</v>
      </c>
      <c r="P7" s="11">
        <f>'2. Tulud-kulud projektiga'!P7-'3. Tulud-kulud projektita'!P7</f>
        <v>0</v>
      </c>
      <c r="Q7" s="11">
        <f>'2. Tulud-kulud projektiga'!Q7-'3. Tulud-kulud projektita'!Q7</f>
        <v>0</v>
      </c>
      <c r="R7" s="11">
        <f>'2. Tulud-kulud projektiga'!R7-'3. Tulud-kulud projektita'!R7</f>
        <v>0</v>
      </c>
      <c r="S7" s="7"/>
      <c r="T7" s="7"/>
    </row>
    <row r="8" spans="1:20" ht="15.75" customHeight="1" x14ac:dyDescent="0.35">
      <c r="A8" s="708"/>
      <c r="B8" s="50" t="s">
        <v>0</v>
      </c>
      <c r="C8" s="51" t="s">
        <v>3</v>
      </c>
      <c r="D8" s="11">
        <f>'2. Tulud-kulud projektiga'!D8-'3. Tulud-kulud projektita'!D8</f>
        <v>0</v>
      </c>
      <c r="E8" s="11">
        <f>'2. Tulud-kulud projektiga'!E8-'3. Tulud-kulud projektita'!E8</f>
        <v>0</v>
      </c>
      <c r="F8" s="11">
        <f>'2. Tulud-kulud projektiga'!F8-'3. Tulud-kulud projektita'!F8</f>
        <v>0</v>
      </c>
      <c r="G8" s="11">
        <f>'2. Tulud-kulud projektiga'!G8-'3. Tulud-kulud projektita'!G8</f>
        <v>20</v>
      </c>
      <c r="H8" s="11">
        <f>'2. Tulud-kulud projektiga'!H8-'3. Tulud-kulud projektita'!H8</f>
        <v>20</v>
      </c>
      <c r="I8" s="11">
        <f>'2. Tulud-kulud projektiga'!I8-'3. Tulud-kulud projektita'!I8</f>
        <v>20</v>
      </c>
      <c r="J8" s="11">
        <f>'2. Tulud-kulud projektiga'!J8-'3. Tulud-kulud projektita'!J8</f>
        <v>20</v>
      </c>
      <c r="K8" s="11">
        <f>'2. Tulud-kulud projektiga'!K8-'3. Tulud-kulud projektita'!K8</f>
        <v>20</v>
      </c>
      <c r="L8" s="11">
        <f>'2. Tulud-kulud projektiga'!L8-'3. Tulud-kulud projektita'!L8</f>
        <v>20</v>
      </c>
      <c r="M8" s="11">
        <f>'2. Tulud-kulud projektiga'!M8-'3. Tulud-kulud projektita'!M8</f>
        <v>20</v>
      </c>
      <c r="N8" s="11">
        <f>'2. Tulud-kulud projektiga'!N8-'3. Tulud-kulud projektita'!N8</f>
        <v>20</v>
      </c>
      <c r="O8" s="11">
        <f>'2. Tulud-kulud projektiga'!O8-'3. Tulud-kulud projektita'!O8</f>
        <v>20</v>
      </c>
      <c r="P8" s="11">
        <f>'2. Tulud-kulud projektiga'!P8-'3. Tulud-kulud projektita'!P8</f>
        <v>0</v>
      </c>
      <c r="Q8" s="11">
        <f>'2. Tulud-kulud projektiga'!Q8-'3. Tulud-kulud projektita'!Q8</f>
        <v>0</v>
      </c>
      <c r="R8" s="11">
        <f>'2. Tulud-kulud projektiga'!R8-'3. Tulud-kulud projektita'!R8</f>
        <v>0</v>
      </c>
      <c r="S8" s="7"/>
      <c r="T8" s="7"/>
    </row>
    <row r="9" spans="1:20" ht="15.75" customHeight="1" x14ac:dyDescent="0.35">
      <c r="A9" s="708"/>
      <c r="B9" s="52" t="s">
        <v>1</v>
      </c>
      <c r="C9" s="53" t="s">
        <v>3</v>
      </c>
      <c r="D9" s="54">
        <f>'2. Tulud-kulud projektiga'!D9-'3. Tulud-kulud projektita'!D9</f>
        <v>0</v>
      </c>
      <c r="E9" s="54">
        <f>'2. Tulud-kulud projektiga'!E9-'3. Tulud-kulud projektita'!E9</f>
        <v>0</v>
      </c>
      <c r="F9" s="54">
        <f>'2. Tulud-kulud projektiga'!F9-'3. Tulud-kulud projektita'!F9</f>
        <v>0</v>
      </c>
      <c r="G9" s="54">
        <f>'2. Tulud-kulud projektiga'!G9-'3. Tulud-kulud projektita'!G9</f>
        <v>155660</v>
      </c>
      <c r="H9" s="54">
        <f>'2. Tulud-kulud projektiga'!H9-'3. Tulud-kulud projektita'!H9</f>
        <v>109620</v>
      </c>
      <c r="I9" s="54">
        <f>'2. Tulud-kulud projektiga'!I9-'3. Tulud-kulud projektita'!I9</f>
        <v>73520</v>
      </c>
      <c r="J9" s="54">
        <f>'2. Tulud-kulud projektiga'!J9-'3. Tulud-kulud projektita'!J9</f>
        <v>72500</v>
      </c>
      <c r="K9" s="54">
        <f>'2. Tulud-kulud projektiga'!K9-'3. Tulud-kulud projektita'!K9</f>
        <v>72880</v>
      </c>
      <c r="L9" s="54">
        <f>'2. Tulud-kulud projektiga'!L9-'3. Tulud-kulud projektita'!L9</f>
        <v>115160</v>
      </c>
      <c r="M9" s="54">
        <f>'2. Tulud-kulud projektiga'!M9-'3. Tulud-kulud projektita'!M9</f>
        <v>110560</v>
      </c>
      <c r="N9" s="54">
        <f>'2. Tulud-kulud projektiga'!N9-'3. Tulud-kulud projektita'!N9</f>
        <v>134860</v>
      </c>
      <c r="O9" s="54">
        <f>'2. Tulud-kulud projektiga'!O9-'3. Tulud-kulud projektita'!O9</f>
        <v>71140</v>
      </c>
      <c r="P9" s="54">
        <f>'2. Tulud-kulud projektiga'!P9-'3. Tulud-kulud projektita'!P9</f>
        <v>0</v>
      </c>
      <c r="Q9" s="54">
        <f>'2. Tulud-kulud projektiga'!Q9-'3. Tulud-kulud projektita'!Q9</f>
        <v>0</v>
      </c>
      <c r="R9" s="54">
        <f>'2. Tulud-kulud projektiga'!R9-'3. Tulud-kulud projektita'!R9</f>
        <v>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708">
        <f>'2. Tulud-kulud projektiga'!A11:A13</f>
        <v>0</v>
      </c>
      <c r="B11" s="50" t="str">
        <f>'2. Tulud-kulud projektiga'!B11</f>
        <v>Kuu</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7"/>
      <c r="T11" s="7"/>
    </row>
    <row r="12" spans="1:20" x14ac:dyDescent="0.35">
      <c r="A12" s="708"/>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7"/>
      <c r="T12" s="7"/>
    </row>
    <row r="13" spans="1:20" x14ac:dyDescent="0.35">
      <c r="A13" s="708"/>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708">
        <f>'2. Tulud-kulud projektiga'!A15:A17</f>
        <v>0</v>
      </c>
      <c r="B15" s="50" t="str">
        <f>'2. Tulud-kulud projektiga'!B15</f>
        <v>Ühik 3</v>
      </c>
      <c r="C15" s="51" t="str">
        <f>'2. Tulud-kulud projektiga'!C15</f>
        <v>m2</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7"/>
      <c r="T15" s="7"/>
    </row>
    <row r="16" spans="1:20" x14ac:dyDescent="0.35">
      <c r="A16" s="708"/>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7"/>
      <c r="T16" s="7"/>
    </row>
    <row r="17" spans="1:20" x14ac:dyDescent="0.35">
      <c r="A17" s="708"/>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708">
        <f>'2. Tulud-kulud projektiga'!A19:A21</f>
        <v>0</v>
      </c>
      <c r="B19" s="50" t="str">
        <f>'2. Tulud-kulud projektiga'!B19</f>
        <v>Ühik 4</v>
      </c>
      <c r="C19" s="51" t="str">
        <f>'2. Tulud-kulud projektiga'!C19</f>
        <v>Kohta</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7"/>
      <c r="T19" s="7"/>
    </row>
    <row r="20" spans="1:20" x14ac:dyDescent="0.35">
      <c r="A20" s="708"/>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7"/>
      <c r="T20" s="7"/>
    </row>
    <row r="21" spans="1:20" x14ac:dyDescent="0.35">
      <c r="A21" s="708"/>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708">
        <f>'2. Tulud-kulud projektiga'!A23:A25</f>
        <v>0</v>
      </c>
      <c r="B23" s="50" t="str">
        <f>'2. Tulud-kulud projektiga'!B23</f>
        <v>Ühik 5</v>
      </c>
      <c r="C23" s="51" t="str">
        <f>'2. Tulud-kulud projektiga'!C23</f>
        <v>m2</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7"/>
      <c r="T23" s="7"/>
    </row>
    <row r="24" spans="1:20" x14ac:dyDescent="0.35">
      <c r="A24" s="708"/>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7"/>
      <c r="T24" s="7"/>
    </row>
    <row r="25" spans="1:20" x14ac:dyDescent="0.35">
      <c r="A25" s="708"/>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x14ac:dyDescent="0.35">
      <c r="A27" s="708">
        <f>'2. Tulud-kulud projektiga'!A27:A29</f>
        <v>0</v>
      </c>
      <c r="B27" s="50" t="str">
        <f>'2. Tulud-kulud projektiga'!B27</f>
        <v>Ühik 6</v>
      </c>
      <c r="C27" s="51" t="str">
        <f>'2. Tulud-kulud projektiga'!C27</f>
        <v>m2</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x14ac:dyDescent="0.35">
      <c r="A28" s="708"/>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x14ac:dyDescent="0.35">
      <c r="A29" s="708"/>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customHeight="1" x14ac:dyDescent="0.35">
      <c r="A30" s="47"/>
      <c r="B30" s="26"/>
      <c r="C30" s="12"/>
      <c r="D30" s="12"/>
      <c r="E30" s="12"/>
      <c r="F30" s="12"/>
      <c r="G30" s="12"/>
      <c r="H30" s="12"/>
      <c r="I30" s="12"/>
      <c r="J30" s="12"/>
      <c r="K30" s="12"/>
      <c r="L30" s="12"/>
      <c r="M30" s="12"/>
      <c r="N30" s="12"/>
      <c r="O30" s="12"/>
      <c r="P30" s="12"/>
      <c r="Q30" s="12"/>
      <c r="R30" s="12"/>
      <c r="S30" s="7"/>
      <c r="T30" s="7"/>
    </row>
    <row r="31" spans="1:20" x14ac:dyDescent="0.35">
      <c r="A31" s="708">
        <f>'2. Tulud-kulud projektiga'!A31:A33</f>
        <v>0</v>
      </c>
      <c r="B31" s="50" t="str">
        <f>'2. Tulud-kulud projektiga'!B31</f>
        <v>Ühik 7</v>
      </c>
      <c r="C31" s="51" t="str">
        <f>'2. Tulud-kulud projektiga'!C31</f>
        <v>m2</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x14ac:dyDescent="0.35">
      <c r="A32" s="708"/>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x14ac:dyDescent="0.35">
      <c r="A33" s="708"/>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customHeight="1" x14ac:dyDescent="0.35">
      <c r="A34" s="47"/>
      <c r="B34" s="26"/>
      <c r="C34" s="12"/>
      <c r="D34" s="12"/>
      <c r="E34" s="12"/>
      <c r="F34" s="12"/>
      <c r="G34" s="12"/>
      <c r="H34" s="12"/>
      <c r="I34" s="12"/>
      <c r="J34" s="12"/>
      <c r="K34" s="12"/>
      <c r="L34" s="12"/>
      <c r="M34" s="12"/>
      <c r="N34" s="12"/>
      <c r="O34" s="12"/>
      <c r="P34" s="12"/>
      <c r="Q34" s="12"/>
      <c r="R34" s="12"/>
      <c r="S34" s="7"/>
      <c r="T34" s="7"/>
    </row>
    <row r="35" spans="1:20" x14ac:dyDescent="0.35">
      <c r="A35" s="708">
        <f>'2. Tulud-kulud projektiga'!A35:A37</f>
        <v>0</v>
      </c>
      <c r="B35" s="50" t="str">
        <f>'2. Tulud-kulud projektiga'!B35</f>
        <v>Ühik 8</v>
      </c>
      <c r="C35" s="51" t="str">
        <f>'2. Tulud-kulud projektiga'!C35</f>
        <v>m2</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x14ac:dyDescent="0.35">
      <c r="A36" s="708"/>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x14ac:dyDescent="0.35">
      <c r="A37" s="708"/>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customHeight="1" x14ac:dyDescent="0.35">
      <c r="A38" s="47"/>
      <c r="B38" s="26"/>
      <c r="C38" s="12"/>
      <c r="D38" s="12"/>
      <c r="E38" s="12"/>
      <c r="F38" s="12"/>
      <c r="G38" s="12"/>
      <c r="H38" s="12"/>
      <c r="I38" s="12"/>
      <c r="J38" s="12"/>
      <c r="K38" s="12"/>
      <c r="L38" s="12"/>
      <c r="M38" s="12"/>
      <c r="N38" s="12"/>
      <c r="O38" s="12"/>
      <c r="P38" s="12"/>
      <c r="Q38" s="12"/>
      <c r="R38" s="12"/>
      <c r="S38" s="7"/>
      <c r="T38" s="7"/>
    </row>
    <row r="39" spans="1:20" hidden="1" x14ac:dyDescent="0.35">
      <c r="A39" s="708">
        <f>'2. Tulud-kulud projektiga'!A39:A41</f>
        <v>0</v>
      </c>
      <c r="B39" s="50" t="str">
        <f>'2. Tulud-kulud projektiga'!B39</f>
        <v>Ühik 9</v>
      </c>
      <c r="C39" s="51" t="str">
        <f>'2. Tulud-kulud projektiga'!C39</f>
        <v>Kuud</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x14ac:dyDescent="0.35">
      <c r="A40" s="708"/>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x14ac:dyDescent="0.35">
      <c r="A41" s="708"/>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customHeight="1" x14ac:dyDescent="0.35">
      <c r="A42" s="47"/>
      <c r="B42" s="26"/>
      <c r="C42" s="12"/>
      <c r="D42" s="12"/>
      <c r="E42" s="12"/>
      <c r="F42" s="12"/>
      <c r="G42" s="12"/>
      <c r="H42" s="12"/>
      <c r="I42" s="12"/>
      <c r="J42" s="12"/>
      <c r="K42" s="12"/>
      <c r="L42" s="12"/>
      <c r="M42" s="12"/>
      <c r="N42" s="12"/>
      <c r="O42" s="12"/>
      <c r="P42" s="12"/>
      <c r="Q42" s="12"/>
      <c r="R42" s="12"/>
      <c r="S42" s="7"/>
      <c r="T42" s="7"/>
    </row>
    <row r="43" spans="1:20" x14ac:dyDescent="0.35">
      <c r="A43" s="708">
        <f>'2. Tulud-kulud projektiga'!A43:A45</f>
        <v>0</v>
      </c>
      <c r="B43" s="50" t="str">
        <f>'2. Tulud-kulud projektiga'!B43</f>
        <v>Ühik 10</v>
      </c>
      <c r="C43" s="51" t="str">
        <f>'2. Tulud-kulud projektiga'!C43</f>
        <v>Kuud</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x14ac:dyDescent="0.35">
      <c r="A44" s="708"/>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x14ac:dyDescent="0.35">
      <c r="A45" s="708"/>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hidden="1" customHeight="1" x14ac:dyDescent="0.35">
      <c r="A46" s="15"/>
      <c r="B46" s="26"/>
      <c r="C46" s="12"/>
      <c r="D46" s="12"/>
      <c r="E46" s="12"/>
      <c r="F46" s="12"/>
      <c r="G46" s="12"/>
      <c r="H46" s="12"/>
      <c r="I46" s="12"/>
      <c r="J46" s="12"/>
      <c r="K46" s="12"/>
      <c r="L46" s="12"/>
      <c r="M46" s="12"/>
      <c r="N46" s="12"/>
      <c r="O46" s="12"/>
      <c r="P46" s="12"/>
      <c r="Q46" s="12"/>
      <c r="R46" s="12"/>
      <c r="S46" s="7"/>
      <c r="T46" s="7"/>
    </row>
    <row r="47" spans="1:20" ht="18.75" hidden="1" customHeight="1" x14ac:dyDescent="0.35">
      <c r="A47" s="711" t="str">
        <f>'2. Tulud-kulud projektiga'!A47:B47</f>
        <v>Muu tulu (nimetage)</v>
      </c>
      <c r="B47" s="712"/>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hidden="1" customHeight="1" x14ac:dyDescent="0.35">
      <c r="A48" s="711" t="str">
        <f>'2. Tulud-kulud projektiga'!A48:B48</f>
        <v>Muu tulu (nimetage)</v>
      </c>
      <c r="B48" s="712"/>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hidden="1" customHeight="1" x14ac:dyDescent="0.35">
      <c r="A49" s="711" t="str">
        <f>'2. Tulud-kulud projektiga'!A49:B49</f>
        <v>Muu tulu (nimetage)</v>
      </c>
      <c r="B49" s="712"/>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hidden="1" customHeight="1" x14ac:dyDescent="0.35">
      <c r="A50" s="711" t="str">
        <f>'2. Tulud-kulud projektiga'!A50:B50</f>
        <v>Muu tulu (nimetage)</v>
      </c>
      <c r="B50" s="712"/>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hidden="1" customHeight="1" x14ac:dyDescent="0.35">
      <c r="A51" s="711" t="str">
        <f>'2. Tulud-kulud projektiga'!A51:B51</f>
        <v>Muu tulu (nimetage)</v>
      </c>
      <c r="B51" s="712"/>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713" t="s">
        <v>58</v>
      </c>
      <c r="B53" s="714"/>
      <c r="C53" s="48" t="s">
        <v>3</v>
      </c>
      <c r="D53" s="58">
        <f t="shared" ref="D53" si="4">D9+D13+D17+D21+D25+D29+D33+D37+D41+D45+D47+D48+D49+D50+D51</f>
        <v>0</v>
      </c>
      <c r="E53" s="58">
        <f t="shared" ref="E53:R53" si="5">E9+E13+E17+E21+E25+E29+E33+E37+E41+E45+E47+E48+E49+E50+E51</f>
        <v>0</v>
      </c>
      <c r="F53" s="58">
        <f t="shared" si="5"/>
        <v>0</v>
      </c>
      <c r="G53" s="58">
        <f t="shared" si="5"/>
        <v>155660</v>
      </c>
      <c r="H53" s="58">
        <f t="shared" si="5"/>
        <v>109620</v>
      </c>
      <c r="I53" s="58">
        <f t="shared" si="5"/>
        <v>73520</v>
      </c>
      <c r="J53" s="58">
        <f t="shared" si="5"/>
        <v>72500</v>
      </c>
      <c r="K53" s="58">
        <f t="shared" si="5"/>
        <v>72880</v>
      </c>
      <c r="L53" s="58">
        <f t="shared" si="5"/>
        <v>115160</v>
      </c>
      <c r="M53" s="58">
        <f t="shared" si="5"/>
        <v>110560</v>
      </c>
      <c r="N53" s="58">
        <f t="shared" si="5"/>
        <v>134860</v>
      </c>
      <c r="O53" s="58">
        <f t="shared" si="5"/>
        <v>71140</v>
      </c>
      <c r="P53" s="58">
        <f t="shared" si="5"/>
        <v>0</v>
      </c>
      <c r="Q53" s="58">
        <f t="shared" si="5"/>
        <v>0</v>
      </c>
      <c r="R53" s="58">
        <f t="shared" si="5"/>
        <v>0</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60</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708" t="s">
        <v>10</v>
      </c>
      <c r="B58" s="50">
        <f>'2. Tulud-kulud projektiga'!B58</f>
        <v>0</v>
      </c>
      <c r="C58" s="51" t="s">
        <v>3</v>
      </c>
      <c r="D58" s="11">
        <f>'2. Tulud-kulud projektiga'!D58-'3. Tulud-kulud projektita'!D58</f>
        <v>0</v>
      </c>
      <c r="E58" s="11">
        <f>'2. Tulud-kulud projektiga'!E58-'3. Tulud-kulud projektita'!E58</f>
        <v>0</v>
      </c>
      <c r="F58" s="11">
        <f>'2. Tulud-kulud projektiga'!F58-'3. Tulud-kulud projektita'!F58</f>
        <v>0</v>
      </c>
      <c r="G58" s="11">
        <f>'2. Tulud-kulud projektiga'!G58-'3. Tulud-kulud projektita'!G58</f>
        <v>0</v>
      </c>
      <c r="H58" s="11">
        <f>'2. Tulud-kulud projektiga'!H58-'3. Tulud-kulud projektita'!H58</f>
        <v>0</v>
      </c>
      <c r="I58" s="11">
        <f>'2. Tulud-kulud projektiga'!I58-'3. Tulud-kulud projektita'!I58</f>
        <v>0</v>
      </c>
      <c r="J58" s="11">
        <f>'2. Tulud-kulud projektiga'!J58-'3. Tulud-kulud projektita'!J58</f>
        <v>0</v>
      </c>
      <c r="K58" s="11">
        <f>'2. Tulud-kulud projektiga'!K58-'3. Tulud-kulud projektita'!K58</f>
        <v>0</v>
      </c>
      <c r="L58" s="11">
        <f>'2. Tulud-kulud projektiga'!L58-'3. Tulud-kulud projektita'!L58</f>
        <v>0</v>
      </c>
      <c r="M58" s="11">
        <f>'2. Tulud-kulud projektiga'!M58-'3. Tulud-kulud projektita'!M58</f>
        <v>0</v>
      </c>
      <c r="N58" s="11">
        <f>'2. Tulud-kulud projektiga'!N58-'3. Tulud-kulud projektita'!N58</f>
        <v>0</v>
      </c>
      <c r="O58" s="11">
        <f>'2. Tulud-kulud projektiga'!O58-'3. Tulud-kulud projektita'!O58</f>
        <v>0</v>
      </c>
      <c r="P58" s="11">
        <f>'2. Tulud-kulud projektiga'!P58-'3. Tulud-kulud projektita'!P58</f>
        <v>0</v>
      </c>
      <c r="Q58" s="11">
        <f>'2. Tulud-kulud projektiga'!Q58-'3. Tulud-kulud projektita'!Q58</f>
        <v>0</v>
      </c>
      <c r="R58" s="11">
        <f>'2. Tulud-kulud projektiga'!R58-'3. Tulud-kulud projektita'!R58</f>
        <v>0</v>
      </c>
      <c r="S58" s="16"/>
      <c r="T58" s="16"/>
      <c r="U58" s="17"/>
    </row>
    <row r="59" spans="1:21" x14ac:dyDescent="0.35">
      <c r="A59" s="708"/>
      <c r="B59" s="50" t="str">
        <f>'2. Tulud-kulud projektiga'!B59</f>
        <v>Projektijuht</v>
      </c>
      <c r="C59" s="51" t="s">
        <v>3</v>
      </c>
      <c r="D59" s="11">
        <f>'2. Tulud-kulud projektiga'!D59-'3. Tulud-kulud projektita'!D59</f>
        <v>0</v>
      </c>
      <c r="E59" s="11">
        <f>'2. Tulud-kulud projektiga'!E59-'3. Tulud-kulud projektita'!E59</f>
        <v>18336.322869955158</v>
      </c>
      <c r="F59" s="11">
        <f>'2. Tulud-kulud projektiga'!F59-'3. Tulud-kulud projektita'!F59</f>
        <v>18336.322869955158</v>
      </c>
      <c r="G59" s="11">
        <f>'2. Tulud-kulud projektiga'!G59-'3. Tulud-kulud projektita'!G59</f>
        <v>18336.322869955158</v>
      </c>
      <c r="H59" s="11">
        <f>'2. Tulud-kulud projektiga'!H59-'3. Tulud-kulud projektita'!H59</f>
        <v>18336.322869955158</v>
      </c>
      <c r="I59" s="11">
        <f>'2. Tulud-kulud projektiga'!I59-'3. Tulud-kulud projektita'!I59</f>
        <v>18336.322869955158</v>
      </c>
      <c r="J59" s="11">
        <f>'2. Tulud-kulud projektiga'!J59-'3. Tulud-kulud projektita'!J59</f>
        <v>18336.322869955158</v>
      </c>
      <c r="K59" s="11">
        <f>'2. Tulud-kulud projektiga'!K59-'3. Tulud-kulud projektita'!K59</f>
        <v>18336.322869955158</v>
      </c>
      <c r="L59" s="11">
        <f>'2. Tulud-kulud projektiga'!L59-'3. Tulud-kulud projektita'!L59</f>
        <v>18336.322869955158</v>
      </c>
      <c r="M59" s="11">
        <f>'2. Tulud-kulud projektiga'!M59-'3. Tulud-kulud projektita'!M59</f>
        <v>18336.322869955158</v>
      </c>
      <c r="N59" s="11">
        <f>'2. Tulud-kulud projektiga'!N59-'3. Tulud-kulud projektita'!N59</f>
        <v>18336.322869955158</v>
      </c>
      <c r="O59" s="11">
        <f>'2. Tulud-kulud projektiga'!O59-'3. Tulud-kulud projektita'!O59</f>
        <v>18336.322869955158</v>
      </c>
      <c r="P59" s="11">
        <f>'2. Tulud-kulud projektiga'!P59-'3. Tulud-kulud projektita'!P59</f>
        <v>18336.322869955158</v>
      </c>
      <c r="Q59" s="11">
        <f>'2. Tulud-kulud projektiga'!Q59-'3. Tulud-kulud projektita'!Q59</f>
        <v>18336.322869955158</v>
      </c>
      <c r="R59" s="11">
        <f>'2. Tulud-kulud projektiga'!R59-'3. Tulud-kulud projektita'!R59</f>
        <v>18336.322869955158</v>
      </c>
      <c r="S59" s="16"/>
      <c r="T59" s="16"/>
      <c r="U59" s="17"/>
    </row>
    <row r="60" spans="1:21" x14ac:dyDescent="0.35">
      <c r="A60" s="708"/>
      <c r="B60" s="50" t="str">
        <f>'2. Tulud-kulud projektiga'!B60</f>
        <v>Turundustegevuste koordineerija</v>
      </c>
      <c r="C60" s="51" t="s">
        <v>3</v>
      </c>
      <c r="D60" s="11">
        <f>'2. Tulud-kulud projektiga'!D60-'3. Tulud-kulud projektita'!D60</f>
        <v>0</v>
      </c>
      <c r="E60" s="11">
        <f>'2. Tulud-kulud projektiga'!E60-'3. Tulud-kulud projektita'!E60</f>
        <v>0</v>
      </c>
      <c r="F60" s="11">
        <f>'2. Tulud-kulud projektiga'!F60-'3. Tulud-kulud projektita'!F60</f>
        <v>21116.59192825112</v>
      </c>
      <c r="G60" s="11">
        <f>'2. Tulud-kulud projektiga'!G60-'3. Tulud-kulud projektita'!G60</f>
        <v>21116.59192825112</v>
      </c>
      <c r="H60" s="11">
        <f>'2. Tulud-kulud projektiga'!H60-'3. Tulud-kulud projektita'!H60</f>
        <v>21116.59192825112</v>
      </c>
      <c r="I60" s="11">
        <f>'2. Tulud-kulud projektiga'!I60-'3. Tulud-kulud projektita'!I60</f>
        <v>21116.59192825112</v>
      </c>
      <c r="J60" s="11">
        <f>'2. Tulud-kulud projektiga'!J60-'3. Tulud-kulud projektita'!J60</f>
        <v>21116.59192825112</v>
      </c>
      <c r="K60" s="11">
        <f>'2. Tulud-kulud projektiga'!K60-'3. Tulud-kulud projektita'!K60</f>
        <v>21116.59192825112</v>
      </c>
      <c r="L60" s="11">
        <f>'2. Tulud-kulud projektiga'!L60-'3. Tulud-kulud projektita'!L60</f>
        <v>21116.59192825112</v>
      </c>
      <c r="M60" s="11">
        <f>'2. Tulud-kulud projektiga'!M60-'3. Tulud-kulud projektita'!M60</f>
        <v>21116.59192825112</v>
      </c>
      <c r="N60" s="11">
        <f>'2. Tulud-kulud projektiga'!N60-'3. Tulud-kulud projektita'!N60</f>
        <v>21116.59192825112</v>
      </c>
      <c r="O60" s="11">
        <f>'2. Tulud-kulud projektiga'!O60-'3. Tulud-kulud projektita'!O60</f>
        <v>21116.59192825112</v>
      </c>
      <c r="P60" s="11">
        <f>'2. Tulud-kulud projektiga'!P60-'3. Tulud-kulud projektita'!P60</f>
        <v>21116.59192825112</v>
      </c>
      <c r="Q60" s="11">
        <f>'2. Tulud-kulud projektiga'!Q60-'3. Tulud-kulud projektita'!Q60</f>
        <v>0</v>
      </c>
      <c r="R60" s="11">
        <f>'2. Tulud-kulud projektiga'!R60-'3. Tulud-kulud projektita'!R60</f>
        <v>0</v>
      </c>
      <c r="S60" s="16"/>
      <c r="T60" s="16"/>
      <c r="U60" s="17"/>
    </row>
    <row r="61" spans="1:21" hidden="1" x14ac:dyDescent="0.35">
      <c r="A61" s="708"/>
      <c r="B61" s="50" t="str">
        <f>'2. Tulud-kulud projektiga'!B61</f>
        <v>Finantsjuht</v>
      </c>
      <c r="C61" s="51" t="s">
        <v>3</v>
      </c>
      <c r="D61" s="11">
        <f>'2. Tulud-kulud projektiga'!D61-'3. Tulud-kulud projektita'!D61</f>
        <v>0</v>
      </c>
      <c r="E61" s="11">
        <f>'2. Tulud-kulud projektiga'!E61-'3. Tulud-kulud projektita'!E61</f>
        <v>0</v>
      </c>
      <c r="F61" s="11">
        <f>'2. Tulud-kulud projektiga'!F61-'3. Tulud-kulud projektita'!F61</f>
        <v>2657.3991031390133</v>
      </c>
      <c r="G61" s="11">
        <f>'2. Tulud-kulud projektiga'!G61-'3. Tulud-kulud projektita'!G61</f>
        <v>2657.3991031390133</v>
      </c>
      <c r="H61" s="11">
        <f>'2. Tulud-kulud projektiga'!H61-'3. Tulud-kulud projektita'!H61</f>
        <v>2657.3991031390133</v>
      </c>
      <c r="I61" s="11">
        <f>'2. Tulud-kulud projektiga'!I61-'3. Tulud-kulud projektita'!I61</f>
        <v>2657.3991031390133</v>
      </c>
      <c r="J61" s="11">
        <f>'2. Tulud-kulud projektiga'!J61-'3. Tulud-kulud projektita'!J61</f>
        <v>2657.3991031390133</v>
      </c>
      <c r="K61" s="11">
        <f>'2. Tulud-kulud projektiga'!K61-'3. Tulud-kulud projektita'!K61</f>
        <v>2657.3991031390133</v>
      </c>
      <c r="L61" s="11">
        <f>'2. Tulud-kulud projektiga'!L61-'3. Tulud-kulud projektita'!L61</f>
        <v>2657.3991031390133</v>
      </c>
      <c r="M61" s="11">
        <f>'2. Tulud-kulud projektiga'!M61-'3. Tulud-kulud projektita'!M61</f>
        <v>2657.3991031390133</v>
      </c>
      <c r="N61" s="11">
        <f>'2. Tulud-kulud projektiga'!N61-'3. Tulud-kulud projektita'!N61</f>
        <v>2657.3991031390133</v>
      </c>
      <c r="O61" s="11">
        <f>'2. Tulud-kulud projektiga'!O61-'3. Tulud-kulud projektita'!O61</f>
        <v>2657.3991031390133</v>
      </c>
      <c r="P61" s="11">
        <f>'2. Tulud-kulud projektiga'!P61-'3. Tulud-kulud projektita'!P61</f>
        <v>2657.3991031390133</v>
      </c>
      <c r="Q61" s="11">
        <f>'2. Tulud-kulud projektiga'!Q61-'3. Tulud-kulud projektita'!Q61</f>
        <v>2657.3991031390133</v>
      </c>
      <c r="R61" s="11">
        <f>'2. Tulud-kulud projektiga'!R61-'3. Tulud-kulud projektita'!R61</f>
        <v>2657.3991031390133</v>
      </c>
      <c r="S61" s="16"/>
      <c r="T61" s="16"/>
      <c r="U61" s="17"/>
    </row>
    <row r="62" spans="1:21" hidden="1" x14ac:dyDescent="0.35">
      <c r="A62" s="708"/>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hidden="1" x14ac:dyDescent="0.35">
      <c r="A63" s="708"/>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hidden="1" x14ac:dyDescent="0.35">
      <c r="A64" s="708"/>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hidden="1" x14ac:dyDescent="0.35">
      <c r="A65" s="708"/>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hidden="1" x14ac:dyDescent="0.35">
      <c r="A66" s="708"/>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hidden="1" x14ac:dyDescent="0.35">
      <c r="A67" s="708"/>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x14ac:dyDescent="0.35">
      <c r="A68" s="708"/>
      <c r="B68" s="50" t="str">
        <f>'2. Tulud-kulud projektiga'!B68</f>
        <v>Töötaja 11</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x14ac:dyDescent="0.35">
      <c r="A69" s="708"/>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x14ac:dyDescent="0.35">
      <c r="A70" s="708"/>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x14ac:dyDescent="0.35">
      <c r="A71" s="708"/>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x14ac:dyDescent="0.35">
      <c r="A72" s="708"/>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x14ac:dyDescent="0.35">
      <c r="A73" s="708"/>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x14ac:dyDescent="0.35">
      <c r="A74" s="708"/>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x14ac:dyDescent="0.35">
      <c r="A75" s="708"/>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x14ac:dyDescent="0.35">
      <c r="A76" s="708"/>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x14ac:dyDescent="0.35">
      <c r="A77" s="708"/>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x14ac:dyDescent="0.35">
      <c r="A78" s="708"/>
      <c r="B78" s="50" t="s">
        <v>18</v>
      </c>
      <c r="C78" s="51" t="s">
        <v>3</v>
      </c>
      <c r="D78" s="56">
        <f>'2. Tulud-kulud projektiga'!D78-'3. Tulud-kulud projektita'!D78</f>
        <v>0</v>
      </c>
      <c r="E78" s="56">
        <f>'2. Tulud-kulud projektiga'!E78-'3. Tulud-kulud projektita'!E78</f>
        <v>18336.322869955158</v>
      </c>
      <c r="F78" s="56">
        <f>'2. Tulud-kulud projektiga'!F78-'3. Tulud-kulud projektita'!F78</f>
        <v>42110.313901345289</v>
      </c>
      <c r="G78" s="56">
        <f>'2. Tulud-kulud projektiga'!G78-'3. Tulud-kulud projektita'!G78</f>
        <v>42110.313901345289</v>
      </c>
      <c r="H78" s="56">
        <f>'2. Tulud-kulud projektiga'!H78-'3. Tulud-kulud projektita'!H78</f>
        <v>42110.313901345289</v>
      </c>
      <c r="I78" s="56">
        <f>'2. Tulud-kulud projektiga'!I78-'3. Tulud-kulud projektita'!I78</f>
        <v>42110.313901345289</v>
      </c>
      <c r="J78" s="56">
        <f>'2. Tulud-kulud projektiga'!J78-'3. Tulud-kulud projektita'!J78</f>
        <v>42110.313901345289</v>
      </c>
      <c r="K78" s="56">
        <f>'2. Tulud-kulud projektiga'!K78-'3. Tulud-kulud projektita'!K78</f>
        <v>42110.313901345289</v>
      </c>
      <c r="L78" s="56">
        <f>'2. Tulud-kulud projektiga'!L78-'3. Tulud-kulud projektita'!L78</f>
        <v>42110.313901345289</v>
      </c>
      <c r="M78" s="56">
        <f>'2. Tulud-kulud projektiga'!M78-'3. Tulud-kulud projektita'!M78</f>
        <v>42110.313901345289</v>
      </c>
      <c r="N78" s="56">
        <f>'2. Tulud-kulud projektiga'!N78-'3. Tulud-kulud projektita'!N78</f>
        <v>42110.313901345289</v>
      </c>
      <c r="O78" s="56">
        <f>'2. Tulud-kulud projektiga'!O78-'3. Tulud-kulud projektita'!O78</f>
        <v>42110.313901345289</v>
      </c>
      <c r="P78" s="56">
        <f>'2. Tulud-kulud projektiga'!P78-'3. Tulud-kulud projektita'!P78</f>
        <v>42110.313901345289</v>
      </c>
      <c r="Q78" s="56">
        <f>'2. Tulud-kulud projektiga'!Q78-'3. Tulud-kulud projektita'!Q78</f>
        <v>20993.721973094172</v>
      </c>
      <c r="R78" s="56">
        <f>'2. Tulud-kulud projektiga'!R78-'3. Tulud-kulud projektita'!R78</f>
        <v>20993.721973094172</v>
      </c>
      <c r="S78" s="16"/>
      <c r="T78" s="16"/>
      <c r="U78" s="17"/>
    </row>
    <row r="79" spans="1:21" x14ac:dyDescent="0.35">
      <c r="A79" s="708"/>
      <c r="B79" s="50" t="s">
        <v>17</v>
      </c>
      <c r="C79" s="55"/>
      <c r="D79" s="56">
        <f>'2. Tulud-kulud projektiga'!D79-'3. Tulud-kulud projektita'!D79</f>
        <v>0</v>
      </c>
      <c r="E79" s="56">
        <f>'2. Tulud-kulud projektiga'!E79-'3. Tulud-kulud projektita'!E79</f>
        <v>6197.6771300448436</v>
      </c>
      <c r="F79" s="56">
        <f>'2. Tulud-kulud projektiga'!F79-'3. Tulud-kulud projektita'!F79</f>
        <v>14233.286098654709</v>
      </c>
      <c r="G79" s="56">
        <f>'2. Tulud-kulud projektiga'!G79-'3. Tulud-kulud projektita'!G79</f>
        <v>14233.286098654709</v>
      </c>
      <c r="H79" s="56">
        <f>'2. Tulud-kulud projektiga'!H79-'3. Tulud-kulud projektita'!H79</f>
        <v>14233.286098654709</v>
      </c>
      <c r="I79" s="56">
        <f>'2. Tulud-kulud projektiga'!I79-'3. Tulud-kulud projektita'!I79</f>
        <v>14233.286098654709</v>
      </c>
      <c r="J79" s="56">
        <f>'2. Tulud-kulud projektiga'!J79-'3. Tulud-kulud projektita'!J79</f>
        <v>14233.286098654709</v>
      </c>
      <c r="K79" s="56">
        <f>'2. Tulud-kulud projektiga'!K79-'3. Tulud-kulud projektita'!K79</f>
        <v>14233.286098654709</v>
      </c>
      <c r="L79" s="56">
        <f>'2. Tulud-kulud projektiga'!L79-'3. Tulud-kulud projektita'!L79</f>
        <v>14233.286098654709</v>
      </c>
      <c r="M79" s="56">
        <f>'2. Tulud-kulud projektiga'!M79-'3. Tulud-kulud projektita'!M79</f>
        <v>14233.286098654709</v>
      </c>
      <c r="N79" s="56">
        <f>'2. Tulud-kulud projektiga'!N79-'3. Tulud-kulud projektita'!N79</f>
        <v>14233.286098654709</v>
      </c>
      <c r="O79" s="56">
        <f>'2. Tulud-kulud projektiga'!O79-'3. Tulud-kulud projektita'!O79</f>
        <v>14233.286098654709</v>
      </c>
      <c r="P79" s="56">
        <f>'2. Tulud-kulud projektiga'!P79-'3. Tulud-kulud projektita'!P79</f>
        <v>14233.286098654709</v>
      </c>
      <c r="Q79" s="56">
        <f>'2. Tulud-kulud projektiga'!Q79-'3. Tulud-kulud projektita'!Q79</f>
        <v>7095.8780269058307</v>
      </c>
      <c r="R79" s="56">
        <f>'2. Tulud-kulud projektiga'!R79-'3. Tulud-kulud projektita'!R79</f>
        <v>7095.8780269058307</v>
      </c>
      <c r="S79" s="16"/>
      <c r="T79" s="16"/>
      <c r="U79" s="17"/>
    </row>
    <row r="80" spans="1:21" x14ac:dyDescent="0.35">
      <c r="A80" s="709" t="s">
        <v>19</v>
      </c>
      <c r="B80" s="710"/>
      <c r="C80" s="49"/>
      <c r="D80" s="59">
        <f>'2. Tulud-kulud projektiga'!D80-'3. Tulud-kulud projektita'!D80</f>
        <v>0</v>
      </c>
      <c r="E80" s="59">
        <f>'2. Tulud-kulud projektiga'!E80-'3. Tulud-kulud projektita'!E80</f>
        <v>24534</v>
      </c>
      <c r="F80" s="59">
        <f>'2. Tulud-kulud projektiga'!F80-'3. Tulud-kulud projektita'!F80</f>
        <v>56343.6</v>
      </c>
      <c r="G80" s="59">
        <f>'2. Tulud-kulud projektiga'!G80-'3. Tulud-kulud projektita'!G80</f>
        <v>56343.6</v>
      </c>
      <c r="H80" s="59">
        <f>'2. Tulud-kulud projektiga'!H80-'3. Tulud-kulud projektita'!H80</f>
        <v>56343.6</v>
      </c>
      <c r="I80" s="59">
        <f>'2. Tulud-kulud projektiga'!I80-'3. Tulud-kulud projektita'!I80</f>
        <v>56343.6</v>
      </c>
      <c r="J80" s="59">
        <f>'2. Tulud-kulud projektiga'!J80-'3. Tulud-kulud projektita'!J80</f>
        <v>56343.6</v>
      </c>
      <c r="K80" s="59">
        <f>'2. Tulud-kulud projektiga'!K80-'3. Tulud-kulud projektita'!K80</f>
        <v>56343.6</v>
      </c>
      <c r="L80" s="59">
        <f>'2. Tulud-kulud projektiga'!L80-'3. Tulud-kulud projektita'!L80</f>
        <v>56343.6</v>
      </c>
      <c r="M80" s="59">
        <f>'2. Tulud-kulud projektiga'!M80-'3. Tulud-kulud projektita'!M80</f>
        <v>56343.6</v>
      </c>
      <c r="N80" s="59">
        <f>'2. Tulud-kulud projektiga'!N80-'3. Tulud-kulud projektita'!N80</f>
        <v>56343.6</v>
      </c>
      <c r="O80" s="59">
        <f>'2. Tulud-kulud projektiga'!O80-'3. Tulud-kulud projektita'!O80</f>
        <v>56343.6</v>
      </c>
      <c r="P80" s="59">
        <f>'2. Tulud-kulud projektiga'!P80-'3. Tulud-kulud projektita'!P80</f>
        <v>56343.6</v>
      </c>
      <c r="Q80" s="59">
        <f>'2. Tulud-kulud projektiga'!Q80-'3. Tulud-kulud projektita'!Q80</f>
        <v>28089.600000000002</v>
      </c>
      <c r="R80" s="59">
        <f>'2. Tulud-kulud projektiga'!R80-'3. Tulud-kulud projektita'!R80</f>
        <v>28089.600000000002</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708" t="str">
        <f>'2. Tulud-kulud projektiga'!A82:A91</f>
        <v>Halduskulud</v>
      </c>
      <c r="B82" s="50">
        <f>'2. Tulud-kulud projektiga'!B82</f>
        <v>0</v>
      </c>
      <c r="C82" s="51" t="s">
        <v>3</v>
      </c>
      <c r="D82" s="11">
        <f>'2. Tulud-kulud projektiga'!D82-'3. Tulud-kulud projektita'!D82</f>
        <v>0</v>
      </c>
      <c r="E82" s="11">
        <f>'2. Tulud-kulud projektiga'!E82-'3. Tulud-kulud projektita'!E82</f>
        <v>0</v>
      </c>
      <c r="F82" s="11">
        <f>'2. Tulud-kulud projektiga'!F82-'3. Tulud-kulud projektita'!F82</f>
        <v>0</v>
      </c>
      <c r="G82" s="11">
        <f>'2. Tulud-kulud projektiga'!G82-'3. Tulud-kulud projektita'!G82</f>
        <v>0</v>
      </c>
      <c r="H82" s="11">
        <f>'2. Tulud-kulud projektiga'!H82-'3. Tulud-kulud projektita'!H82</f>
        <v>0</v>
      </c>
      <c r="I82" s="11">
        <f>'2. Tulud-kulud projektiga'!I82-'3. Tulud-kulud projektita'!I82</f>
        <v>0</v>
      </c>
      <c r="J82" s="11">
        <f>'2. Tulud-kulud projektiga'!J82-'3. Tulud-kulud projektita'!J82</f>
        <v>0</v>
      </c>
      <c r="K82" s="11">
        <f>'2. Tulud-kulud projektiga'!K82-'3. Tulud-kulud projektita'!K82</f>
        <v>0</v>
      </c>
      <c r="L82" s="11">
        <f>'2. Tulud-kulud projektiga'!L82-'3. Tulud-kulud projektita'!L82</f>
        <v>0</v>
      </c>
      <c r="M82" s="11">
        <f>'2. Tulud-kulud projektiga'!M82-'3. Tulud-kulud projektita'!M82</f>
        <v>0</v>
      </c>
      <c r="N82" s="11">
        <f>'2. Tulud-kulud projektiga'!N82-'3. Tulud-kulud projektita'!N82</f>
        <v>0</v>
      </c>
      <c r="O82" s="11">
        <f>'2. Tulud-kulud projektiga'!O82-'3. Tulud-kulud projektita'!O82</f>
        <v>0</v>
      </c>
      <c r="P82" s="11">
        <f>'2. Tulud-kulud projektiga'!P82-'3. Tulud-kulud projektita'!P82</f>
        <v>0</v>
      </c>
      <c r="Q82" s="11">
        <f>'2. Tulud-kulud projektiga'!Q82-'3. Tulud-kulud projektita'!Q82</f>
        <v>0</v>
      </c>
      <c r="R82" s="11">
        <f>'2. Tulud-kulud projektiga'!R82-'3. Tulud-kulud projektita'!R82</f>
        <v>0</v>
      </c>
      <c r="S82" s="16"/>
      <c r="T82" s="16"/>
      <c r="U82" s="17"/>
    </row>
    <row r="83" spans="1:21" x14ac:dyDescent="0.35">
      <c r="A83" s="708"/>
      <c r="B83" s="50">
        <f>'2. Tulud-kulud projektiga'!B83</f>
        <v>0</v>
      </c>
      <c r="C83" s="51" t="s">
        <v>3</v>
      </c>
      <c r="D83" s="11">
        <f>'2. Tulud-kulud projektiga'!D83-'3. Tulud-kulud projektita'!D83</f>
        <v>0</v>
      </c>
      <c r="E83" s="11">
        <f>'2. Tulud-kulud projektiga'!E83-'3. Tulud-kulud projektita'!E83</f>
        <v>0</v>
      </c>
      <c r="F83" s="11">
        <f>'2. Tulud-kulud projektiga'!F83-'3. Tulud-kulud projektita'!F83</f>
        <v>0</v>
      </c>
      <c r="G83" s="11">
        <f>'2. Tulud-kulud projektiga'!G83-'3. Tulud-kulud projektita'!G83</f>
        <v>0</v>
      </c>
      <c r="H83" s="11">
        <f>'2. Tulud-kulud projektiga'!H83-'3. Tulud-kulud projektita'!H83</f>
        <v>0</v>
      </c>
      <c r="I83" s="11">
        <f>'2. Tulud-kulud projektiga'!I83-'3. Tulud-kulud projektita'!I83</f>
        <v>0</v>
      </c>
      <c r="J83" s="11">
        <f>'2. Tulud-kulud projektiga'!J83-'3. Tulud-kulud projektita'!J83</f>
        <v>0</v>
      </c>
      <c r="K83" s="11">
        <f>'2. Tulud-kulud projektiga'!K83-'3. Tulud-kulud projektita'!K83</f>
        <v>0</v>
      </c>
      <c r="L83" s="11">
        <f>'2. Tulud-kulud projektiga'!L83-'3. Tulud-kulud projektita'!L83</f>
        <v>0</v>
      </c>
      <c r="M83" s="11">
        <f>'2. Tulud-kulud projektiga'!M83-'3. Tulud-kulud projektita'!M83</f>
        <v>0</v>
      </c>
      <c r="N83" s="11">
        <f>'2. Tulud-kulud projektiga'!N83-'3. Tulud-kulud projektita'!N83</f>
        <v>0</v>
      </c>
      <c r="O83" s="11">
        <f>'2. Tulud-kulud projektiga'!O83-'3. Tulud-kulud projektita'!O83</f>
        <v>0</v>
      </c>
      <c r="P83" s="11">
        <f>'2. Tulud-kulud projektiga'!P83-'3. Tulud-kulud projektita'!P83</f>
        <v>0</v>
      </c>
      <c r="Q83" s="11">
        <f>'2. Tulud-kulud projektiga'!Q83-'3. Tulud-kulud projektita'!Q83</f>
        <v>0</v>
      </c>
      <c r="R83" s="11">
        <f>'2. Tulud-kulud projektiga'!R83-'3. Tulud-kulud projektita'!R83</f>
        <v>0</v>
      </c>
      <c r="S83" s="16"/>
      <c r="T83" s="16"/>
      <c r="U83" s="17"/>
    </row>
    <row r="84" spans="1:21" x14ac:dyDescent="0.35">
      <c r="A84" s="708"/>
      <c r="B84" s="50">
        <f>'2. Tulud-kulud projektiga'!B84</f>
        <v>0</v>
      </c>
      <c r="C84" s="51" t="s">
        <v>3</v>
      </c>
      <c r="D84" s="11">
        <f>'2. Tulud-kulud projektiga'!D84-'3. Tulud-kulud projektita'!D84</f>
        <v>0</v>
      </c>
      <c r="E84" s="11">
        <f>'2. Tulud-kulud projektiga'!E84-'3. Tulud-kulud projektita'!E84</f>
        <v>0</v>
      </c>
      <c r="F84" s="11">
        <f>'2. Tulud-kulud projektiga'!F84-'3. Tulud-kulud projektita'!F84</f>
        <v>0</v>
      </c>
      <c r="G84" s="11">
        <f>'2. Tulud-kulud projektiga'!G84-'3. Tulud-kulud projektita'!G84</f>
        <v>0</v>
      </c>
      <c r="H84" s="11">
        <f>'2. Tulud-kulud projektiga'!H84-'3. Tulud-kulud projektita'!H84</f>
        <v>0</v>
      </c>
      <c r="I84" s="11">
        <f>'2. Tulud-kulud projektiga'!I84-'3. Tulud-kulud projektita'!I84</f>
        <v>0</v>
      </c>
      <c r="J84" s="11">
        <f>'2. Tulud-kulud projektiga'!J84-'3. Tulud-kulud projektita'!J84</f>
        <v>0</v>
      </c>
      <c r="K84" s="11">
        <f>'2. Tulud-kulud projektiga'!K84-'3. Tulud-kulud projektita'!K84</f>
        <v>0</v>
      </c>
      <c r="L84" s="11">
        <f>'2. Tulud-kulud projektiga'!L84-'3. Tulud-kulud projektita'!L84</f>
        <v>0</v>
      </c>
      <c r="M84" s="11">
        <f>'2. Tulud-kulud projektiga'!M84-'3. Tulud-kulud projektita'!M84</f>
        <v>0</v>
      </c>
      <c r="N84" s="11">
        <f>'2. Tulud-kulud projektiga'!N84-'3. Tulud-kulud projektita'!N84</f>
        <v>0</v>
      </c>
      <c r="O84" s="11">
        <f>'2. Tulud-kulud projektiga'!O84-'3. Tulud-kulud projektita'!O84</f>
        <v>0</v>
      </c>
      <c r="P84" s="11">
        <f>'2. Tulud-kulud projektiga'!P84-'3. Tulud-kulud projektita'!P84</f>
        <v>0</v>
      </c>
      <c r="Q84" s="11">
        <f>'2. Tulud-kulud projektiga'!Q84-'3. Tulud-kulud projektita'!Q84</f>
        <v>0</v>
      </c>
      <c r="R84" s="11">
        <f>'2. Tulud-kulud projektiga'!R84-'3. Tulud-kulud projektita'!R84</f>
        <v>0</v>
      </c>
      <c r="S84" s="16"/>
      <c r="T84" s="16"/>
      <c r="U84" s="17"/>
    </row>
    <row r="85" spans="1:21" x14ac:dyDescent="0.35">
      <c r="A85" s="708"/>
      <c r="B85" s="50">
        <f>'2. Tulud-kulud projektiga'!B85</f>
        <v>0</v>
      </c>
      <c r="C85" s="51" t="s">
        <v>3</v>
      </c>
      <c r="D85" s="11">
        <f>'2. Tulud-kulud projektiga'!D85-'3. Tulud-kulud projektita'!D85</f>
        <v>0</v>
      </c>
      <c r="E85" s="11">
        <f>'2. Tulud-kulud projektiga'!E85-'3. Tulud-kulud projektita'!E85</f>
        <v>0</v>
      </c>
      <c r="F85" s="11">
        <f>'2. Tulud-kulud projektiga'!F85-'3. Tulud-kulud projektita'!F85</f>
        <v>0</v>
      </c>
      <c r="G85" s="11">
        <f>'2. Tulud-kulud projektiga'!G85-'3. Tulud-kulud projektita'!G85</f>
        <v>0</v>
      </c>
      <c r="H85" s="11">
        <f>'2. Tulud-kulud projektiga'!H85-'3. Tulud-kulud projektita'!H85</f>
        <v>0</v>
      </c>
      <c r="I85" s="11">
        <f>'2. Tulud-kulud projektiga'!I85-'3. Tulud-kulud projektita'!I85</f>
        <v>0</v>
      </c>
      <c r="J85" s="11">
        <f>'2. Tulud-kulud projektiga'!J85-'3. Tulud-kulud projektita'!J85</f>
        <v>0</v>
      </c>
      <c r="K85" s="11">
        <f>'2. Tulud-kulud projektiga'!K85-'3. Tulud-kulud projektita'!K85</f>
        <v>0</v>
      </c>
      <c r="L85" s="11">
        <f>'2. Tulud-kulud projektiga'!L85-'3. Tulud-kulud projektita'!L85</f>
        <v>0</v>
      </c>
      <c r="M85" s="11">
        <f>'2. Tulud-kulud projektiga'!M85-'3. Tulud-kulud projektita'!M85</f>
        <v>0</v>
      </c>
      <c r="N85" s="11">
        <f>'2. Tulud-kulud projektiga'!N85-'3. Tulud-kulud projektita'!N85</f>
        <v>0</v>
      </c>
      <c r="O85" s="11">
        <f>'2. Tulud-kulud projektiga'!O85-'3. Tulud-kulud projektita'!O85</f>
        <v>0</v>
      </c>
      <c r="P85" s="11">
        <f>'2. Tulud-kulud projektiga'!P85-'3. Tulud-kulud projektita'!P85</f>
        <v>0</v>
      </c>
      <c r="Q85" s="11">
        <f>'2. Tulud-kulud projektiga'!Q85-'3. Tulud-kulud projektita'!Q85</f>
        <v>0</v>
      </c>
      <c r="R85" s="11">
        <f>'2. Tulud-kulud projektiga'!R85-'3. Tulud-kulud projektita'!R85</f>
        <v>0</v>
      </c>
      <c r="S85" s="16"/>
      <c r="T85" s="16"/>
      <c r="U85" s="17"/>
    </row>
    <row r="86" spans="1:21" x14ac:dyDescent="0.35">
      <c r="A86" s="708"/>
      <c r="B86" s="50">
        <f>'2. Tulud-kulud projektiga'!B86</f>
        <v>0</v>
      </c>
      <c r="C86" s="51" t="s">
        <v>3</v>
      </c>
      <c r="D86" s="11">
        <f>'2. Tulud-kulud projektiga'!D86-'3. Tulud-kulud projektita'!D86</f>
        <v>0</v>
      </c>
      <c r="E86" s="11">
        <f>'2. Tulud-kulud projektiga'!E86-'3. Tulud-kulud projektita'!E86</f>
        <v>0</v>
      </c>
      <c r="F86" s="11">
        <f>'2. Tulud-kulud projektiga'!F86-'3. Tulud-kulud projektita'!F86</f>
        <v>0</v>
      </c>
      <c r="G86" s="11">
        <f>'2. Tulud-kulud projektiga'!G86-'3. Tulud-kulud projektita'!G86</f>
        <v>0</v>
      </c>
      <c r="H86" s="11">
        <f>'2. Tulud-kulud projektiga'!H86-'3. Tulud-kulud projektita'!H86</f>
        <v>0</v>
      </c>
      <c r="I86" s="11">
        <f>'2. Tulud-kulud projektiga'!I86-'3. Tulud-kulud projektita'!I86</f>
        <v>0</v>
      </c>
      <c r="J86" s="11">
        <f>'2. Tulud-kulud projektiga'!J86-'3. Tulud-kulud projektita'!J86</f>
        <v>0</v>
      </c>
      <c r="K86" s="11">
        <f>'2. Tulud-kulud projektiga'!K86-'3. Tulud-kulud projektita'!K86</f>
        <v>0</v>
      </c>
      <c r="L86" s="11">
        <f>'2. Tulud-kulud projektiga'!L86-'3. Tulud-kulud projektita'!L86</f>
        <v>0</v>
      </c>
      <c r="M86" s="11">
        <f>'2. Tulud-kulud projektiga'!M86-'3. Tulud-kulud projektita'!M86</f>
        <v>0</v>
      </c>
      <c r="N86" s="11">
        <f>'2. Tulud-kulud projektiga'!N86-'3. Tulud-kulud projektita'!N86</f>
        <v>0</v>
      </c>
      <c r="O86" s="11">
        <f>'2. Tulud-kulud projektiga'!O86-'3. Tulud-kulud projektita'!O86</f>
        <v>0</v>
      </c>
      <c r="P86" s="11">
        <f>'2. Tulud-kulud projektiga'!P86-'3. Tulud-kulud projektita'!P86</f>
        <v>0</v>
      </c>
      <c r="Q86" s="11">
        <f>'2. Tulud-kulud projektiga'!Q86-'3. Tulud-kulud projektita'!Q86</f>
        <v>0</v>
      </c>
      <c r="R86" s="11">
        <f>'2. Tulud-kulud projektiga'!R86-'3. Tulud-kulud projektita'!R86</f>
        <v>0</v>
      </c>
      <c r="S86" s="16"/>
      <c r="T86" s="16"/>
      <c r="U86" s="17"/>
    </row>
    <row r="87" spans="1:21" x14ac:dyDescent="0.35">
      <c r="A87" s="708"/>
      <c r="B87" s="50">
        <f>'2. Tulud-kulud projektiga'!B87</f>
        <v>0</v>
      </c>
      <c r="C87" s="51" t="s">
        <v>3</v>
      </c>
      <c r="D87" s="11">
        <f>'2. Tulud-kulud projektiga'!D87-'3. Tulud-kulud projektita'!D87</f>
        <v>0</v>
      </c>
      <c r="E87" s="11">
        <f>'2. Tulud-kulud projektiga'!E87-'3. Tulud-kulud projektita'!E87</f>
        <v>0</v>
      </c>
      <c r="F87" s="11">
        <f>'2. Tulud-kulud projektiga'!F87-'3. Tulud-kulud projektita'!F87</f>
        <v>0</v>
      </c>
      <c r="G87" s="11">
        <f>'2. Tulud-kulud projektiga'!G87-'3. Tulud-kulud projektita'!G87</f>
        <v>0</v>
      </c>
      <c r="H87" s="11">
        <f>'2. Tulud-kulud projektiga'!H87-'3. Tulud-kulud projektita'!H87</f>
        <v>0</v>
      </c>
      <c r="I87" s="11">
        <f>'2. Tulud-kulud projektiga'!I87-'3. Tulud-kulud projektita'!I87</f>
        <v>0</v>
      </c>
      <c r="J87" s="11">
        <f>'2. Tulud-kulud projektiga'!J87-'3. Tulud-kulud projektita'!J87</f>
        <v>0</v>
      </c>
      <c r="K87" s="11">
        <f>'2. Tulud-kulud projektiga'!K87-'3. Tulud-kulud projektita'!K87</f>
        <v>0</v>
      </c>
      <c r="L87" s="11">
        <f>'2. Tulud-kulud projektiga'!L87-'3. Tulud-kulud projektita'!L87</f>
        <v>0</v>
      </c>
      <c r="M87" s="11">
        <f>'2. Tulud-kulud projektiga'!M87-'3. Tulud-kulud projektita'!M87</f>
        <v>0</v>
      </c>
      <c r="N87" s="11">
        <f>'2. Tulud-kulud projektiga'!N87-'3. Tulud-kulud projektita'!N87</f>
        <v>0</v>
      </c>
      <c r="O87" s="11">
        <f>'2. Tulud-kulud projektiga'!O87-'3. Tulud-kulud projektita'!O87</f>
        <v>0</v>
      </c>
      <c r="P87" s="11">
        <f>'2. Tulud-kulud projektiga'!P87-'3. Tulud-kulud projektita'!P87</f>
        <v>0</v>
      </c>
      <c r="Q87" s="11">
        <f>'2. Tulud-kulud projektiga'!Q87-'3. Tulud-kulud projektita'!Q87</f>
        <v>0</v>
      </c>
      <c r="R87" s="11">
        <f>'2. Tulud-kulud projektiga'!R87-'3. Tulud-kulud projektita'!R87</f>
        <v>0</v>
      </c>
      <c r="S87" s="16"/>
      <c r="T87" s="16"/>
      <c r="U87" s="17"/>
    </row>
    <row r="88" spans="1:21" hidden="1" x14ac:dyDescent="0.35">
      <c r="A88" s="708"/>
      <c r="B88" s="50" t="str">
        <f>'2. Tulud-kulud projektiga'!B88</f>
        <v>Halduskulu 7</v>
      </c>
      <c r="C88" s="51" t="s">
        <v>3</v>
      </c>
      <c r="D88" s="11">
        <f>'2. Tulud-kulud projektiga'!D88-'3. Tulud-kulud projektita'!D88</f>
        <v>0</v>
      </c>
      <c r="E88" s="11">
        <f>'2. Tulud-kulud projektiga'!E88-'3. Tulud-kulud projektita'!E88</f>
        <v>0</v>
      </c>
      <c r="F88" s="11">
        <f>'2. Tulud-kulud projektiga'!F88-'3. Tulud-kulud projektita'!F88</f>
        <v>0</v>
      </c>
      <c r="G88" s="11">
        <f>'2. Tulud-kulud projektiga'!G88-'3. Tulud-kulud projektita'!G88</f>
        <v>0</v>
      </c>
      <c r="H88" s="11">
        <f>'2. Tulud-kulud projektiga'!H88-'3. Tulud-kulud projektita'!H88</f>
        <v>0</v>
      </c>
      <c r="I88" s="11">
        <f>'2. Tulud-kulud projektiga'!I88-'3. Tulud-kulud projektita'!I88</f>
        <v>0</v>
      </c>
      <c r="J88" s="11">
        <f>'2. Tulud-kulud projektiga'!J88-'3. Tulud-kulud projektita'!J88</f>
        <v>0</v>
      </c>
      <c r="K88" s="11">
        <f>'2. Tulud-kulud projektiga'!K88-'3. Tulud-kulud projektita'!K88</f>
        <v>0</v>
      </c>
      <c r="L88" s="11">
        <f>'2. Tulud-kulud projektiga'!L88-'3. Tulud-kulud projektita'!L88</f>
        <v>0</v>
      </c>
      <c r="M88" s="11">
        <f>'2. Tulud-kulud projektiga'!M88-'3. Tulud-kulud projektita'!M88</f>
        <v>0</v>
      </c>
      <c r="N88" s="11">
        <f>'2. Tulud-kulud projektiga'!N88-'3. Tulud-kulud projektita'!N88</f>
        <v>0</v>
      </c>
      <c r="O88" s="11">
        <f>'2. Tulud-kulud projektiga'!O88-'3. Tulud-kulud projektita'!O88</f>
        <v>0</v>
      </c>
      <c r="P88" s="11">
        <f>'2. Tulud-kulud projektiga'!P88-'3. Tulud-kulud projektita'!P88</f>
        <v>0</v>
      </c>
      <c r="Q88" s="11">
        <f>'2. Tulud-kulud projektiga'!Q88-'3. Tulud-kulud projektita'!Q88</f>
        <v>0</v>
      </c>
      <c r="R88" s="11">
        <f>'2. Tulud-kulud projektiga'!R88-'3. Tulud-kulud projektita'!R88</f>
        <v>0</v>
      </c>
      <c r="S88" s="16"/>
      <c r="T88" s="16"/>
      <c r="U88" s="17"/>
    </row>
    <row r="89" spans="1:21" hidden="1" x14ac:dyDescent="0.35">
      <c r="A89" s="708"/>
      <c r="B89" s="50" t="str">
        <f>'2. Tulud-kulud projektiga'!B89</f>
        <v>Halduskulu 8</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hidden="1" x14ac:dyDescent="0.35">
      <c r="A90" s="708"/>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hidden="1" x14ac:dyDescent="0.35">
      <c r="A91" s="708"/>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709" t="str">
        <f>'2. Tulud-kulud projektiga'!A92:B92</f>
        <v>Halduskulud kokku</v>
      </c>
      <c r="B92" s="710"/>
      <c r="C92" s="49"/>
      <c r="D92" s="59">
        <f>'2. Tulud-kulud projektiga'!D92-'3. Tulud-kulud projektita'!D92</f>
        <v>0</v>
      </c>
      <c r="E92" s="59">
        <f>'2. Tulud-kulud projektiga'!E92-'3. Tulud-kulud projektita'!E92</f>
        <v>0</v>
      </c>
      <c r="F92" s="59">
        <f>'2. Tulud-kulud projektiga'!F92-'3. Tulud-kulud projektita'!F92</f>
        <v>0</v>
      </c>
      <c r="G92" s="59">
        <f>'2. Tulud-kulud projektiga'!G92-'3. Tulud-kulud projektita'!G92</f>
        <v>0</v>
      </c>
      <c r="H92" s="59">
        <f>'2. Tulud-kulud projektiga'!H92-'3. Tulud-kulud projektita'!H92</f>
        <v>0</v>
      </c>
      <c r="I92" s="59">
        <f>'2. Tulud-kulud projektiga'!I92-'3. Tulud-kulud projektita'!I92</f>
        <v>0</v>
      </c>
      <c r="J92" s="59">
        <f>'2. Tulud-kulud projektiga'!J92-'3. Tulud-kulud projektita'!J92</f>
        <v>0</v>
      </c>
      <c r="K92" s="59">
        <f>'2. Tulud-kulud projektiga'!K92-'3. Tulud-kulud projektita'!K92</f>
        <v>0</v>
      </c>
      <c r="L92" s="59">
        <f>'2. Tulud-kulud projektiga'!L92-'3. Tulud-kulud projektita'!L92</f>
        <v>0</v>
      </c>
      <c r="M92" s="59">
        <f>'2. Tulud-kulud projektiga'!M92-'3. Tulud-kulud projektita'!M92</f>
        <v>0</v>
      </c>
      <c r="N92" s="59">
        <f>'2. Tulud-kulud projektiga'!N92-'3. Tulud-kulud projektita'!N92</f>
        <v>0</v>
      </c>
      <c r="O92" s="59">
        <f>'2. Tulud-kulud projektiga'!O92-'3. Tulud-kulud projektita'!O92</f>
        <v>0</v>
      </c>
      <c r="P92" s="59">
        <f>'2. Tulud-kulud projektiga'!P92-'3. Tulud-kulud projektita'!P92</f>
        <v>0</v>
      </c>
      <c r="Q92" s="59">
        <f>'2. Tulud-kulud projektiga'!Q92-'3. Tulud-kulud projektita'!Q92</f>
        <v>0</v>
      </c>
      <c r="R92" s="59">
        <f>'2. Tulud-kulud projektiga'!R92-'3. Tulud-kulud projektita'!R92</f>
        <v>0</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716" t="str">
        <f>'2. Tulud-kulud projektiga'!A94:A103</f>
        <v>Turunduskulud</v>
      </c>
      <c r="B94" s="50" t="str">
        <f>'2. Tulud-kulud projektiga'!B94</f>
        <v>Turunduskulud</v>
      </c>
      <c r="C94" s="51" t="s">
        <v>3</v>
      </c>
      <c r="D94" s="11">
        <f>'2. Tulud-kulud projektiga'!D94-'3. Tulud-kulud projektita'!D94</f>
        <v>0</v>
      </c>
      <c r="E94" s="11">
        <f>'2. Tulud-kulud projektiga'!E94-'3. Tulud-kulud projektita'!E94</f>
        <v>0</v>
      </c>
      <c r="F94" s="11">
        <f>'2. Tulud-kulud projektiga'!F94-'3. Tulud-kulud projektita'!F94</f>
        <v>15000</v>
      </c>
      <c r="G94" s="11">
        <f>'2. Tulud-kulud projektiga'!G94-'3. Tulud-kulud projektita'!G94</f>
        <v>15000</v>
      </c>
      <c r="H94" s="11">
        <f>'2. Tulud-kulud projektiga'!H94-'3. Tulud-kulud projektita'!H94</f>
        <v>15000</v>
      </c>
      <c r="I94" s="11">
        <f>'2. Tulud-kulud projektiga'!I94-'3. Tulud-kulud projektita'!I94</f>
        <v>15000</v>
      </c>
      <c r="J94" s="11">
        <f>'2. Tulud-kulud projektiga'!J94-'3. Tulud-kulud projektita'!J94</f>
        <v>15000</v>
      </c>
      <c r="K94" s="11">
        <f>'2. Tulud-kulud projektiga'!K94-'3. Tulud-kulud projektita'!K94</f>
        <v>15000</v>
      </c>
      <c r="L94" s="11">
        <f>'2. Tulud-kulud projektiga'!L94-'3. Tulud-kulud projektita'!L94</f>
        <v>15000</v>
      </c>
      <c r="M94" s="11">
        <f>'2. Tulud-kulud projektiga'!M94-'3. Tulud-kulud projektita'!M94</f>
        <v>15000</v>
      </c>
      <c r="N94" s="11">
        <f>'2. Tulud-kulud projektiga'!N94-'3. Tulud-kulud projektita'!N94</f>
        <v>15000</v>
      </c>
      <c r="O94" s="11">
        <f>'2. Tulud-kulud projektiga'!O94-'3. Tulud-kulud projektita'!O94</f>
        <v>15000</v>
      </c>
      <c r="P94" s="11">
        <f>'2. Tulud-kulud projektiga'!P94-'3. Tulud-kulud projektita'!P94</f>
        <v>0</v>
      </c>
      <c r="Q94" s="11">
        <f>'2. Tulud-kulud projektiga'!Q94-'3. Tulud-kulud projektita'!Q94</f>
        <v>0</v>
      </c>
      <c r="R94" s="11">
        <f>'2. Tulud-kulud projektiga'!R94-'3. Tulud-kulud projektita'!R94</f>
        <v>0</v>
      </c>
      <c r="S94" s="16"/>
      <c r="T94" s="16"/>
      <c r="U94" s="17"/>
    </row>
    <row r="95" spans="1:21" hidden="1" x14ac:dyDescent="0.35">
      <c r="A95" s="717"/>
      <c r="B95" s="50" t="str">
        <f>'2. Tulud-kulud projektiga'!B95</f>
        <v>Kulu 2</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hidden="1" x14ac:dyDescent="0.35">
      <c r="A96" s="717"/>
      <c r="B96" s="50" t="str">
        <f>'2. Tulud-kulud projektiga'!B96</f>
        <v>Kulu 3</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hidden="1" x14ac:dyDescent="0.35">
      <c r="A97" s="717"/>
      <c r="B97" s="50" t="str">
        <f>'2. Tulud-kulud projektiga'!B97</f>
        <v>Kulu 4</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hidden="1" x14ac:dyDescent="0.35">
      <c r="A98" s="717"/>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717"/>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717"/>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717"/>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717"/>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718"/>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709" t="str">
        <f>'2. Tulud-kulud projektiga'!A104:B104</f>
        <v>Turunduskulud kokku</v>
      </c>
      <c r="B104" s="710"/>
      <c r="C104" s="49"/>
      <c r="D104" s="59">
        <f>'2. Tulud-kulud projektiga'!D104-'3. Tulud-kulud projektita'!D104</f>
        <v>0</v>
      </c>
      <c r="E104" s="59">
        <f>'2. Tulud-kulud projektiga'!E104-'3. Tulud-kulud projektita'!E104</f>
        <v>0</v>
      </c>
      <c r="F104" s="59">
        <f>'2. Tulud-kulud projektiga'!F104-'3. Tulud-kulud projektita'!F104</f>
        <v>15000</v>
      </c>
      <c r="G104" s="59">
        <f>'2. Tulud-kulud projektiga'!G104-'3. Tulud-kulud projektita'!G104</f>
        <v>15000</v>
      </c>
      <c r="H104" s="59">
        <f>'2. Tulud-kulud projektiga'!H104-'3. Tulud-kulud projektita'!H104</f>
        <v>15000</v>
      </c>
      <c r="I104" s="59">
        <f>'2. Tulud-kulud projektiga'!I104-'3. Tulud-kulud projektita'!I104</f>
        <v>15000</v>
      </c>
      <c r="J104" s="59">
        <f>'2. Tulud-kulud projektiga'!J104-'3. Tulud-kulud projektita'!J104</f>
        <v>15000</v>
      </c>
      <c r="K104" s="59">
        <f>'2. Tulud-kulud projektiga'!K104-'3. Tulud-kulud projektita'!K104</f>
        <v>15000</v>
      </c>
      <c r="L104" s="59">
        <f>'2. Tulud-kulud projektiga'!L104-'3. Tulud-kulud projektita'!L104</f>
        <v>15000</v>
      </c>
      <c r="M104" s="59">
        <f>'2. Tulud-kulud projektiga'!M104-'3. Tulud-kulud projektita'!M104</f>
        <v>15000</v>
      </c>
      <c r="N104" s="59">
        <f>'2. Tulud-kulud projektiga'!N104-'3. Tulud-kulud projektita'!N104</f>
        <v>15000</v>
      </c>
      <c r="O104" s="59">
        <f>'2. Tulud-kulud projektiga'!O104-'3. Tulud-kulud projektita'!O104</f>
        <v>15000</v>
      </c>
      <c r="P104" s="59">
        <f>'2. Tulud-kulud projektiga'!P104-'3. Tulud-kulud projektita'!P104</f>
        <v>0</v>
      </c>
      <c r="Q104" s="59">
        <f>'2. Tulud-kulud projektiga'!Q104-'3. Tulud-kulud projektita'!Q104</f>
        <v>0</v>
      </c>
      <c r="R104" s="59">
        <f>'2. Tulud-kulud projektiga'!R104-'3. Tulud-kulud projektita'!R104</f>
        <v>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715" t="str">
        <f>'2. Tulud-kulud projektiga'!A106:B106</f>
        <v>Maamaks</v>
      </c>
      <c r="B106" s="715"/>
      <c r="C106" s="51" t="s">
        <v>3</v>
      </c>
      <c r="D106" s="11">
        <f>'2. Tulud-kulud projektiga'!D106-'3. Tulud-kulud projektita'!D106</f>
        <v>0</v>
      </c>
      <c r="E106" s="11">
        <f>'2. Tulud-kulud projektiga'!E106-'3. Tulud-kulud projektita'!E106</f>
        <v>1194.7850000000001</v>
      </c>
      <c r="F106" s="11">
        <f>'2. Tulud-kulud projektiga'!F106-'3. Tulud-kulud projektita'!F106</f>
        <v>1194.7850000000001</v>
      </c>
      <c r="G106" s="11">
        <f>'2. Tulud-kulud projektiga'!G106-'3. Tulud-kulud projektita'!G106</f>
        <v>1155.8700000000001</v>
      </c>
      <c r="H106" s="11">
        <f>'2. Tulud-kulud projektiga'!H106-'3. Tulud-kulud projektita'!H106</f>
        <v>1128.4649999999999</v>
      </c>
      <c r="I106" s="11">
        <f>'2. Tulud-kulud projektiga'!I106-'3. Tulud-kulud projektita'!I106</f>
        <v>1110.085</v>
      </c>
      <c r="J106" s="11">
        <f>'2. Tulud-kulud projektiga'!J106-'3. Tulud-kulud projektita'!J106</f>
        <v>1091.96</v>
      </c>
      <c r="K106" s="11">
        <f>'2. Tulud-kulud projektiga'!K106-'3. Tulud-kulud projektita'!K106</f>
        <v>1073.74</v>
      </c>
      <c r="L106" s="11">
        <f>'2. Tulud-kulud projektiga'!L106-'3. Tulud-kulud projektita'!L106</f>
        <v>1044.95</v>
      </c>
      <c r="M106" s="11">
        <f>'2. Tulud-kulud projektiga'!M106-'3. Tulud-kulud projektita'!M106</f>
        <v>1017.3100000000001</v>
      </c>
      <c r="N106" s="11">
        <f>'2. Tulud-kulud projektiga'!N106-'3. Tulud-kulud projektita'!N106</f>
        <v>983.59500000000003</v>
      </c>
      <c r="O106" s="11">
        <f>'2. Tulud-kulud projektiga'!O106-'3. Tulud-kulud projektita'!O106</f>
        <v>965.81000000000006</v>
      </c>
      <c r="P106" s="11">
        <f>'2. Tulud-kulud projektiga'!P106-'3. Tulud-kulud projektita'!P106</f>
        <v>965.81000000000006</v>
      </c>
      <c r="Q106" s="11">
        <f>'2. Tulud-kulud projektiga'!Q106-'3. Tulud-kulud projektita'!Q106</f>
        <v>965.81000000000006</v>
      </c>
      <c r="R106" s="11">
        <f>'2. Tulud-kulud projektiga'!R106-'3. Tulud-kulud projektita'!R106</f>
        <v>0</v>
      </c>
      <c r="S106" s="16"/>
      <c r="T106" s="16"/>
      <c r="U106" s="17"/>
    </row>
    <row r="107" spans="1:21" ht="16.5" customHeight="1" x14ac:dyDescent="0.35">
      <c r="A107" s="715" t="str">
        <f>'2. Tulud-kulud projektiga'!A107:B107</f>
        <v>Maa müügiga seotud maksud</v>
      </c>
      <c r="B107" s="715"/>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2381.598</v>
      </c>
      <c r="H107" s="11">
        <f>'2. Tulud-kulud projektiga'!H107-'3. Tulud-kulud projektita'!H107</f>
        <v>1677.1859999999999</v>
      </c>
      <c r="I107" s="11">
        <f>'2. Tulud-kulud projektiga'!I107-'3. Tulud-kulud projektita'!I107</f>
        <v>1124.856</v>
      </c>
      <c r="J107" s="11">
        <f>'2. Tulud-kulud projektiga'!J107-'3. Tulud-kulud projektita'!J107</f>
        <v>1109.25</v>
      </c>
      <c r="K107" s="11">
        <f>'2. Tulud-kulud projektiga'!K107-'3. Tulud-kulud projektita'!K107</f>
        <v>1115.0640000000001</v>
      </c>
      <c r="L107" s="11">
        <f>'2. Tulud-kulud projektiga'!L107-'3. Tulud-kulud projektita'!L107</f>
        <v>1761.9479999999999</v>
      </c>
      <c r="M107" s="11">
        <f>'2. Tulud-kulud projektiga'!M107-'3. Tulud-kulud projektita'!M107</f>
        <v>1691.568</v>
      </c>
      <c r="N107" s="11">
        <f>'2. Tulud-kulud projektiga'!N107-'3. Tulud-kulud projektita'!N107</f>
        <v>2063.3580000000002</v>
      </c>
      <c r="O107" s="11">
        <f>'2. Tulud-kulud projektiga'!O107-'3. Tulud-kulud projektita'!O107</f>
        <v>1088.442</v>
      </c>
      <c r="P107" s="11">
        <f>'2. Tulud-kulud projektiga'!P107-'3. Tulud-kulud projektita'!P107</f>
        <v>0</v>
      </c>
      <c r="Q107" s="11">
        <f>'2. Tulud-kulud projektiga'!Q107-'3. Tulud-kulud projektita'!Q107</f>
        <v>0</v>
      </c>
      <c r="R107" s="11">
        <f>'2. Tulud-kulud projektiga'!R107-'3. Tulud-kulud projektita'!R107</f>
        <v>0</v>
      </c>
      <c r="S107" s="16"/>
      <c r="T107" s="16"/>
      <c r="U107" s="17"/>
    </row>
    <row r="108" spans="1:21" ht="16.5" customHeight="1" x14ac:dyDescent="0.35">
      <c r="A108" s="715" t="str">
        <f>'2. Tulud-kulud projektiga'!A108:B108</f>
        <v>Tänavavalgustus</v>
      </c>
      <c r="B108" s="715"/>
      <c r="C108" s="51" t="s">
        <v>3</v>
      </c>
      <c r="D108" s="11">
        <f>'2. Tulud-kulud projektiga'!D108-'3. Tulud-kulud projektita'!D108</f>
        <v>0</v>
      </c>
      <c r="E108" s="11">
        <f>'2. Tulud-kulud projektiga'!E108-'3. Tulud-kulud projektita'!E108</f>
        <v>0</v>
      </c>
      <c r="F108" s="11">
        <f>'2. Tulud-kulud projektiga'!F108-'3. Tulud-kulud projektita'!F108</f>
        <v>266.66666666666669</v>
      </c>
      <c r="G108" s="11">
        <f>'2. Tulud-kulud projektiga'!G108-'3. Tulud-kulud projektita'!G108</f>
        <v>800</v>
      </c>
      <c r="H108" s="11">
        <f>'2. Tulud-kulud projektiga'!H108-'3. Tulud-kulud projektita'!H108</f>
        <v>800</v>
      </c>
      <c r="I108" s="11">
        <f>'2. Tulud-kulud projektiga'!I108-'3. Tulud-kulud projektita'!I108</f>
        <v>800</v>
      </c>
      <c r="J108" s="11">
        <f>'2. Tulud-kulud projektiga'!J108-'3. Tulud-kulud projektita'!J108</f>
        <v>800</v>
      </c>
      <c r="K108" s="11">
        <f>'2. Tulud-kulud projektiga'!K108-'3. Tulud-kulud projektita'!K108</f>
        <v>800</v>
      </c>
      <c r="L108" s="11">
        <f>'2. Tulud-kulud projektiga'!L108-'3. Tulud-kulud projektita'!L108</f>
        <v>800</v>
      </c>
      <c r="M108" s="11">
        <f>'2. Tulud-kulud projektiga'!M108-'3. Tulud-kulud projektita'!M108</f>
        <v>800</v>
      </c>
      <c r="N108" s="11">
        <f>'2. Tulud-kulud projektiga'!N108-'3. Tulud-kulud projektita'!N108</f>
        <v>800</v>
      </c>
      <c r="O108" s="11">
        <f>'2. Tulud-kulud projektiga'!O108-'3. Tulud-kulud projektita'!O108</f>
        <v>800</v>
      </c>
      <c r="P108" s="11">
        <f>'2. Tulud-kulud projektiga'!P108-'3. Tulud-kulud projektita'!P108</f>
        <v>800</v>
      </c>
      <c r="Q108" s="11">
        <f>'2. Tulud-kulud projektiga'!Q108-'3. Tulud-kulud projektita'!Q108</f>
        <v>800</v>
      </c>
      <c r="R108" s="11">
        <f>'2. Tulud-kulud projektiga'!R108-'3. Tulud-kulud projektita'!R108</f>
        <v>800</v>
      </c>
      <c r="S108" s="16"/>
      <c r="T108" s="16"/>
      <c r="U108" s="17"/>
    </row>
    <row r="109" spans="1:21" ht="16.5" customHeight="1" x14ac:dyDescent="0.35">
      <c r="A109" s="715" t="str">
        <f>'2. Tulud-kulud projektiga'!A109:B109</f>
        <v>Territooriumi korrashoid</v>
      </c>
      <c r="B109" s="715"/>
      <c r="C109" s="51" t="s">
        <v>3</v>
      </c>
      <c r="D109" s="11">
        <f>'2. Tulud-kulud projektiga'!D109-'3. Tulud-kulud projektita'!D109</f>
        <v>0</v>
      </c>
      <c r="E109" s="11">
        <f>'2. Tulud-kulud projektiga'!E109-'3. Tulud-kulud projektita'!E109</f>
        <v>0</v>
      </c>
      <c r="F109" s="11">
        <f>'2. Tulud-kulud projektiga'!F109-'3. Tulud-kulud projektita'!F109</f>
        <v>1166.6666666666667</v>
      </c>
      <c r="G109" s="11">
        <f>'2. Tulud-kulud projektiga'!G109-'3. Tulud-kulud projektita'!G109</f>
        <v>3500</v>
      </c>
      <c r="H109" s="11">
        <f>'2. Tulud-kulud projektiga'!H109-'3. Tulud-kulud projektita'!H109</f>
        <v>3500</v>
      </c>
      <c r="I109" s="11">
        <f>'2. Tulud-kulud projektiga'!I109-'3. Tulud-kulud projektita'!I109</f>
        <v>3500</v>
      </c>
      <c r="J109" s="11">
        <f>'2. Tulud-kulud projektiga'!J109-'3. Tulud-kulud projektita'!J109</f>
        <v>3500</v>
      </c>
      <c r="K109" s="11">
        <f>'2. Tulud-kulud projektiga'!K109-'3. Tulud-kulud projektita'!K109</f>
        <v>3500</v>
      </c>
      <c r="L109" s="11">
        <f>'2. Tulud-kulud projektiga'!L109-'3. Tulud-kulud projektita'!L109</f>
        <v>3500</v>
      </c>
      <c r="M109" s="11">
        <f>'2. Tulud-kulud projektiga'!M109-'3. Tulud-kulud projektita'!M109</f>
        <v>3500</v>
      </c>
      <c r="N109" s="11">
        <f>'2. Tulud-kulud projektiga'!N109-'3. Tulud-kulud projektita'!N109</f>
        <v>3500</v>
      </c>
      <c r="O109" s="11">
        <f>'2. Tulud-kulud projektiga'!O109-'3. Tulud-kulud projektita'!O109</f>
        <v>3500</v>
      </c>
      <c r="P109" s="11">
        <f>'2. Tulud-kulud projektiga'!P109-'3. Tulud-kulud projektita'!P109</f>
        <v>3500</v>
      </c>
      <c r="Q109" s="11">
        <f>'2. Tulud-kulud projektiga'!Q109-'3. Tulud-kulud projektita'!Q109</f>
        <v>3500</v>
      </c>
      <c r="R109" s="11">
        <f>'2. Tulud-kulud projektiga'!R109-'3. Tulud-kulud projektita'!R109</f>
        <v>3500</v>
      </c>
      <c r="S109" s="16"/>
      <c r="T109" s="16"/>
      <c r="U109" s="17"/>
    </row>
    <row r="110" spans="1:21" ht="16.5" hidden="1" customHeight="1" x14ac:dyDescent="0.35">
      <c r="A110" s="715">
        <f>'2. Tulud-kulud projektiga'!A110:B110</f>
        <v>0</v>
      </c>
      <c r="B110" s="715"/>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715" t="str">
        <f>'2. Tulud-kulud projektiga'!A111:B111</f>
        <v>Teede remont</v>
      </c>
      <c r="B111" s="715"/>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18000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715">
        <f>'2. Tulud-kulud projektiga'!A112:B112</f>
        <v>0</v>
      </c>
      <c r="B112" s="715"/>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6"/>
      <c r="T112" s="16"/>
      <c r="U112" s="17"/>
    </row>
    <row r="113" spans="1:21" ht="16.5" hidden="1" customHeight="1" outlineLevel="1" x14ac:dyDescent="0.35">
      <c r="A113" s="715" t="str">
        <f>'2. Tulud-kulud projektiga'!A113:B113</f>
        <v>Muu kulu 8</v>
      </c>
      <c r="B113" s="715"/>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715" t="str">
        <f>'2. Tulud-kulud projektiga'!A114:B114</f>
        <v>Muu kulu 9</v>
      </c>
      <c r="B114" s="715"/>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715" t="str">
        <f>'2. Tulud-kulud projektiga'!A115:B115</f>
        <v>Muu kulu 10</v>
      </c>
      <c r="B115" s="715"/>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709" t="str">
        <f>'2. Tulud-kulud projektiga'!A116:B116</f>
        <v>Muud kulud kokku</v>
      </c>
      <c r="B116" s="710"/>
      <c r="C116" s="48" t="s">
        <v>3</v>
      </c>
      <c r="D116" s="59">
        <f>'2. Tulud-kulud projektiga'!D116-'3. Tulud-kulud projektita'!D116</f>
        <v>0</v>
      </c>
      <c r="E116" s="59">
        <f>'2. Tulud-kulud projektiga'!E116-'3. Tulud-kulud projektita'!E116</f>
        <v>1194.7850000000001</v>
      </c>
      <c r="F116" s="59">
        <f>'2. Tulud-kulud projektiga'!F116-'3. Tulud-kulud projektita'!F116</f>
        <v>2628.1183333333338</v>
      </c>
      <c r="G116" s="59">
        <f>'2. Tulud-kulud projektiga'!G116-'3. Tulud-kulud projektita'!G116</f>
        <v>7837.4679999999998</v>
      </c>
      <c r="H116" s="59">
        <f>'2. Tulud-kulud projektiga'!H116-'3. Tulud-kulud projektita'!H116</f>
        <v>7105.6509999999998</v>
      </c>
      <c r="I116" s="59">
        <f>'2. Tulud-kulud projektiga'!I116-'3. Tulud-kulud projektita'!I116</f>
        <v>6534.9409999999998</v>
      </c>
      <c r="J116" s="59">
        <f>'2. Tulud-kulud projektiga'!J116-'3. Tulud-kulud projektita'!J116</f>
        <v>6501.21</v>
      </c>
      <c r="K116" s="59">
        <f>'2. Tulud-kulud projektiga'!K116-'3. Tulud-kulud projektita'!K116</f>
        <v>6488.8040000000001</v>
      </c>
      <c r="L116" s="59">
        <f>'2. Tulud-kulud projektiga'!L116-'3. Tulud-kulud projektita'!L116</f>
        <v>7106.8980000000001</v>
      </c>
      <c r="M116" s="59">
        <f>'2. Tulud-kulud projektiga'!M116-'3. Tulud-kulud projektita'!M116</f>
        <v>7008.8780000000006</v>
      </c>
      <c r="N116" s="59">
        <f>'2. Tulud-kulud projektiga'!N116-'3. Tulud-kulud projektita'!N116</f>
        <v>7346.9530000000004</v>
      </c>
      <c r="O116" s="59">
        <f>'2. Tulud-kulud projektiga'!O116-'3. Tulud-kulud projektita'!O116</f>
        <v>6354.2520000000004</v>
      </c>
      <c r="P116" s="59">
        <f>'2. Tulud-kulud projektiga'!P116-'3. Tulud-kulud projektita'!P116</f>
        <v>23265.809999999998</v>
      </c>
      <c r="Q116" s="59">
        <f>'2. Tulud-kulud projektiga'!Q116-'3. Tulud-kulud projektita'!Q116</f>
        <v>5265.8099999999995</v>
      </c>
      <c r="R116" s="59">
        <f>'2. Tulud-kulud projektiga'!R116-'3. Tulud-kulud projektita'!R116</f>
        <v>4300</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719" t="s">
        <v>61</v>
      </c>
      <c r="B118" s="720"/>
      <c r="C118" s="57" t="s">
        <v>3</v>
      </c>
      <c r="D118" s="58">
        <f t="shared" ref="D118:K118" si="6">D80+D92+D104+D116</f>
        <v>0</v>
      </c>
      <c r="E118" s="58">
        <f t="shared" si="6"/>
        <v>25728.785</v>
      </c>
      <c r="F118" s="58">
        <f t="shared" si="6"/>
        <v>73971.718333333338</v>
      </c>
      <c r="G118" s="58">
        <f t="shared" si="6"/>
        <v>79181.067999999999</v>
      </c>
      <c r="H118" s="58">
        <f t="shared" si="6"/>
        <v>78449.251000000004</v>
      </c>
      <c r="I118" s="58">
        <f t="shared" si="6"/>
        <v>77878.541000000012</v>
      </c>
      <c r="J118" s="58">
        <f t="shared" si="6"/>
        <v>77844.810000000012</v>
      </c>
      <c r="K118" s="58">
        <f t="shared" si="6"/>
        <v>77832.40400000001</v>
      </c>
      <c r="L118" s="58">
        <f t="shared" ref="L118:R118" si="7">L80+L92+L104+L116</f>
        <v>78450.498000000007</v>
      </c>
      <c r="M118" s="58">
        <f t="shared" si="7"/>
        <v>78352.478000000003</v>
      </c>
      <c r="N118" s="58">
        <f t="shared" si="7"/>
        <v>78690.553</v>
      </c>
      <c r="O118" s="58">
        <f t="shared" si="7"/>
        <v>77697.852000000014</v>
      </c>
      <c r="P118" s="58">
        <f t="shared" si="7"/>
        <v>79609.41</v>
      </c>
      <c r="Q118" s="58">
        <f t="shared" si="7"/>
        <v>33355.410000000003</v>
      </c>
      <c r="R118" s="58">
        <f t="shared" si="7"/>
        <v>32389.600000000002</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706" t="s">
        <v>31</v>
      </c>
      <c r="B121" s="707"/>
      <c r="C121" s="22" t="s">
        <v>3</v>
      </c>
      <c r="D121" s="14">
        <f t="shared" ref="D121:K121" si="8">D53-D118</f>
        <v>0</v>
      </c>
      <c r="E121" s="14">
        <f t="shared" si="8"/>
        <v>-25728.785</v>
      </c>
      <c r="F121" s="14">
        <f t="shared" si="8"/>
        <v>-73971.718333333338</v>
      </c>
      <c r="G121" s="14">
        <f t="shared" si="8"/>
        <v>76478.932000000001</v>
      </c>
      <c r="H121" s="14">
        <f t="shared" si="8"/>
        <v>31170.748999999996</v>
      </c>
      <c r="I121" s="14">
        <f t="shared" si="8"/>
        <v>-4358.541000000012</v>
      </c>
      <c r="J121" s="14">
        <f t="shared" si="8"/>
        <v>-5344.8100000000122</v>
      </c>
      <c r="K121" s="14">
        <f t="shared" si="8"/>
        <v>-4952.4040000000095</v>
      </c>
      <c r="L121" s="14">
        <f t="shared" ref="L121:R121" si="9">L53-L118</f>
        <v>36709.501999999993</v>
      </c>
      <c r="M121" s="14">
        <f t="shared" si="9"/>
        <v>32207.521999999997</v>
      </c>
      <c r="N121" s="14">
        <f t="shared" si="9"/>
        <v>56169.447</v>
      </c>
      <c r="O121" s="14">
        <f t="shared" si="9"/>
        <v>-6557.8520000000135</v>
      </c>
      <c r="P121" s="14">
        <f t="shared" si="9"/>
        <v>-79609.41</v>
      </c>
      <c r="Q121" s="14">
        <f t="shared" si="9"/>
        <v>-33355.410000000003</v>
      </c>
      <c r="R121" s="14">
        <f t="shared" si="9"/>
        <v>-32389.600000000002</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706" t="s">
        <v>171</v>
      </c>
      <c r="B125" s="707"/>
      <c r="C125" s="22" t="s">
        <v>3</v>
      </c>
      <c r="D125" s="14">
        <f>D121</f>
        <v>0</v>
      </c>
      <c r="E125" s="14">
        <f>D125+E121</f>
        <v>-25728.785</v>
      </c>
      <c r="F125" s="14">
        <f t="shared" ref="F125:P125" si="10">E125+F121</f>
        <v>-99700.503333333341</v>
      </c>
      <c r="G125" s="14">
        <f t="shared" si="10"/>
        <v>-23221.571333333341</v>
      </c>
      <c r="H125" s="14">
        <f t="shared" si="10"/>
        <v>7949.1776666666556</v>
      </c>
      <c r="I125" s="14">
        <f t="shared" si="10"/>
        <v>3590.6366666666436</v>
      </c>
      <c r="J125" s="14">
        <f t="shared" si="10"/>
        <v>-1754.1733333333686</v>
      </c>
      <c r="K125" s="14">
        <f t="shared" si="10"/>
        <v>-6706.5773333333782</v>
      </c>
      <c r="L125" s="14">
        <f t="shared" si="10"/>
        <v>30002.924666666615</v>
      </c>
      <c r="M125" s="14">
        <f t="shared" si="10"/>
        <v>62210.446666666612</v>
      </c>
      <c r="N125" s="14">
        <f t="shared" si="10"/>
        <v>118379.89366666661</v>
      </c>
      <c r="O125" s="14">
        <f t="shared" si="10"/>
        <v>111822.0416666666</v>
      </c>
      <c r="P125" s="14">
        <f t="shared" si="10"/>
        <v>32212.631666666595</v>
      </c>
      <c r="Q125" s="14">
        <f t="shared" ref="Q125" si="11">P125+Q121</f>
        <v>-1142.7783333334082</v>
      </c>
      <c r="R125" s="14">
        <f t="shared" ref="R125" si="12">Q125+R121</f>
        <v>-33532.378333333414</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26"/>
  <sheetViews>
    <sheetView workbookViewId="0">
      <selection activeCell="D11" sqref="D11"/>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7" ht="18.5" x14ac:dyDescent="0.35">
      <c r="A1" s="110" t="s">
        <v>76</v>
      </c>
    </row>
    <row r="2" spans="1:7" ht="18.5" x14ac:dyDescent="0.35">
      <c r="A2" s="101"/>
    </row>
    <row r="3" spans="1:7" ht="18.75" customHeight="1" x14ac:dyDescent="0.35">
      <c r="B3" s="116" t="s">
        <v>72</v>
      </c>
      <c r="C3" s="111">
        <v>0.04</v>
      </c>
    </row>
    <row r="4" spans="1:7" ht="18.75" customHeight="1" x14ac:dyDescent="0.35">
      <c r="B4" s="126" t="s">
        <v>99</v>
      </c>
      <c r="C4" s="127">
        <f>Esileht!B10</f>
        <v>2024</v>
      </c>
    </row>
    <row r="5" spans="1:7" ht="18.75" customHeight="1" x14ac:dyDescent="0.35">
      <c r="B5" s="126" t="s">
        <v>100</v>
      </c>
      <c r="C5" s="127">
        <f>Esileht!B11</f>
        <v>2038</v>
      </c>
    </row>
    <row r="6" spans="1:7" ht="18.75" customHeight="1" x14ac:dyDescent="0.35">
      <c r="B6" s="113" t="s">
        <v>101</v>
      </c>
      <c r="C6" s="112">
        <f>IF(C5&gt;0,C5-C4+1,"")</f>
        <v>15</v>
      </c>
      <c r="D6" s="71" t="s">
        <v>73</v>
      </c>
    </row>
    <row r="8" spans="1:7" ht="36.75" customHeight="1" x14ac:dyDescent="0.35">
      <c r="A8" s="112" t="s">
        <v>74</v>
      </c>
      <c r="B8" s="113" t="s">
        <v>75</v>
      </c>
      <c r="C8" s="114" t="s">
        <v>88</v>
      </c>
      <c r="D8" s="114" t="s">
        <v>89</v>
      </c>
    </row>
    <row r="9" spans="1:7" ht="21.75" customHeight="1" x14ac:dyDescent="0.35">
      <c r="A9" s="112">
        <v>1</v>
      </c>
      <c r="B9" s="117" t="s">
        <v>77</v>
      </c>
      <c r="C9" s="106">
        <f>'1. Projekti elluviimise kulud'!J23</f>
        <v>1272522.28</v>
      </c>
      <c r="D9" s="144">
        <f>NPV(C3,'1. Projekti elluviimise kulud'!D23:I23)</f>
        <v>1178367.4926035502</v>
      </c>
    </row>
    <row r="10" spans="1:7" ht="21.75" customHeight="1" x14ac:dyDescent="0.35">
      <c r="A10" s="112">
        <v>2</v>
      </c>
      <c r="B10" s="117" t="s">
        <v>78</v>
      </c>
      <c r="C10" s="106">
        <f>'8. Jääkväärtus'!Q14</f>
        <v>0</v>
      </c>
      <c r="D10" s="144">
        <f>'8. Jääkväärtus'!C17</f>
        <v>0</v>
      </c>
      <c r="G10" s="360" t="str">
        <f>'8. Jääkväärtus'!C9</f>
        <v>Jääkväärtust ei ole vaja arvutada</v>
      </c>
    </row>
    <row r="11" spans="1:7" ht="21.75" customHeight="1" x14ac:dyDescent="0.35">
      <c r="A11" s="112">
        <v>3</v>
      </c>
      <c r="B11" s="117" t="s">
        <v>79</v>
      </c>
      <c r="C11" s="108"/>
      <c r="D11" s="144">
        <f>NPV(C3,'4. Lisanduvad tulud-kulud'!D53:R53)</f>
        <v>677245.71886040829</v>
      </c>
      <c r="G11" s="505"/>
    </row>
    <row r="12" spans="1:7" ht="21.75" customHeight="1" x14ac:dyDescent="0.35">
      <c r="A12" s="112">
        <v>4</v>
      </c>
      <c r="B12" s="117" t="s">
        <v>80</v>
      </c>
      <c r="C12" s="108"/>
      <c r="D12" s="144">
        <f>NPV(C3,'4. Lisanduvad tulud-kulud'!D118:R118)</f>
        <v>692041.94591904827</v>
      </c>
      <c r="F12" s="128">
        <f>D10+D11-D12</f>
        <v>-14796.227058639983</v>
      </c>
      <c r="G12" s="505"/>
    </row>
    <row r="13" spans="1:7" ht="21.75" customHeight="1" x14ac:dyDescent="0.35">
      <c r="A13" s="112">
        <v>5</v>
      </c>
      <c r="B13" s="117" t="s">
        <v>81</v>
      </c>
      <c r="C13" s="108"/>
      <c r="D13" s="513">
        <f>IF((D10+D11-D12)&lt;0,0,D10+D11-D12)</f>
        <v>0</v>
      </c>
      <c r="F13" s="128">
        <f>NPV(C3,'4. Lisanduvad tulud-kulud'!D121:R121)</f>
        <v>-14796.227058640079</v>
      </c>
      <c r="G13" s="505"/>
    </row>
    <row r="14" spans="1:7" ht="21.75" customHeight="1" x14ac:dyDescent="0.35">
      <c r="A14" s="112">
        <v>6</v>
      </c>
      <c r="B14" s="117" t="s">
        <v>82</v>
      </c>
      <c r="C14" s="108"/>
      <c r="D14" s="144">
        <f>D9-D13</f>
        <v>1178367.4926035502</v>
      </c>
    </row>
    <row r="15" spans="1:7" ht="21.75" customHeight="1" x14ac:dyDescent="0.35">
      <c r="A15" s="112">
        <v>7</v>
      </c>
      <c r="B15" s="117" t="s">
        <v>83</v>
      </c>
      <c r="C15" s="108"/>
      <c r="D15" s="109">
        <f>D14/D9</f>
        <v>1</v>
      </c>
    </row>
    <row r="16" spans="1:7" ht="36.75" customHeight="1" x14ac:dyDescent="0.35">
      <c r="A16" s="112">
        <v>8</v>
      </c>
      <c r="B16" s="117" t="s">
        <v>84</v>
      </c>
      <c r="C16" s="106">
        <f>'1. Projekti elluviimise kulud'!J49</f>
        <v>1272522.28</v>
      </c>
      <c r="D16" s="108"/>
    </row>
    <row r="17" spans="1:4" ht="68.25" customHeight="1" x14ac:dyDescent="0.35">
      <c r="A17" s="112">
        <v>9</v>
      </c>
      <c r="B17" s="115" t="s">
        <v>87</v>
      </c>
      <c r="C17" s="106">
        <f>C16*D15</f>
        <v>1272522.28</v>
      </c>
      <c r="D17" s="108"/>
    </row>
    <row r="18" spans="1:4" ht="21.75" customHeight="1" x14ac:dyDescent="0.35">
      <c r="A18" s="112">
        <v>10</v>
      </c>
      <c r="B18" s="117" t="s">
        <v>85</v>
      </c>
      <c r="C18" s="107">
        <v>1</v>
      </c>
      <c r="D18" s="108"/>
    </row>
    <row r="19" spans="1:4" ht="24.75" customHeight="1" x14ac:dyDescent="0.35">
      <c r="A19" s="112">
        <v>11</v>
      </c>
      <c r="B19" s="117" t="s">
        <v>86</v>
      </c>
      <c r="C19" s="129">
        <f>C17*C18</f>
        <v>1272522.28</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workbookViewId="0">
      <selection activeCell="F32" sqref="F32"/>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31" t="s">
        <v>132</v>
      </c>
    </row>
    <row r="2" spans="1:35" ht="8.25" customHeight="1" x14ac:dyDescent="0.35"/>
    <row r="3" spans="1:35" s="237" customFormat="1" ht="23.25" customHeight="1" x14ac:dyDescent="0.35">
      <c r="A3" s="233"/>
      <c r="B3" s="234"/>
      <c r="C3" s="235">
        <f>'1. Projekti elluviimise kulud'!D2</f>
        <v>2024</v>
      </c>
      <c r="D3" s="235">
        <f>C3+1</f>
        <v>2025</v>
      </c>
      <c r="E3" s="235">
        <f t="shared" ref="E3:O3" si="0">D3+1</f>
        <v>2026</v>
      </c>
      <c r="F3" s="235">
        <f t="shared" si="0"/>
        <v>2027</v>
      </c>
      <c r="G3" s="235">
        <f t="shared" si="0"/>
        <v>2028</v>
      </c>
      <c r="H3" s="235">
        <f t="shared" si="0"/>
        <v>2029</v>
      </c>
      <c r="I3" s="235">
        <f t="shared" si="0"/>
        <v>2030</v>
      </c>
      <c r="J3" s="235">
        <f t="shared" si="0"/>
        <v>2031</v>
      </c>
      <c r="K3" s="235">
        <f t="shared" si="0"/>
        <v>2032</v>
      </c>
      <c r="L3" s="235">
        <f t="shared" si="0"/>
        <v>2033</v>
      </c>
      <c r="M3" s="235">
        <f t="shared" si="0"/>
        <v>2034</v>
      </c>
      <c r="N3" s="235">
        <f t="shared" si="0"/>
        <v>2035</v>
      </c>
      <c r="O3" s="235">
        <f t="shared" si="0"/>
        <v>2036</v>
      </c>
      <c r="P3" s="235">
        <f t="shared" ref="P3" si="1">O3+1</f>
        <v>2037</v>
      </c>
      <c r="Q3" s="235">
        <f t="shared" ref="Q3" si="2">P3+1</f>
        <v>2038</v>
      </c>
      <c r="R3" s="236"/>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74"/>
      <c r="D4" s="74"/>
      <c r="E4" s="74"/>
      <c r="F4" s="74"/>
      <c r="G4" s="74"/>
      <c r="H4" s="74"/>
      <c r="I4" s="74"/>
      <c r="J4" s="74"/>
      <c r="K4" s="74"/>
      <c r="L4" s="74"/>
      <c r="M4" s="74"/>
      <c r="N4" s="74"/>
      <c r="O4" s="74"/>
      <c r="P4" s="74"/>
      <c r="Q4" s="134"/>
    </row>
    <row r="5" spans="1:35" ht="20.25" customHeight="1" x14ac:dyDescent="0.35">
      <c r="A5" s="233" t="s">
        <v>116</v>
      </c>
      <c r="B5" s="234"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241" t="s">
        <v>346</v>
      </c>
      <c r="B7" s="242" t="s">
        <v>3</v>
      </c>
      <c r="C7" s="243">
        <f>'1. Projekti elluviimise kulud'!D49</f>
        <v>50000</v>
      </c>
      <c r="D7" s="243">
        <f>'1. Projekti elluviimise kulud'!E49</f>
        <v>1222522.28</v>
      </c>
      <c r="E7" s="243">
        <f>'1. Projekti elluviimise kulud'!F49</f>
        <v>0</v>
      </c>
      <c r="F7" s="243"/>
      <c r="G7" s="243"/>
      <c r="H7" s="243"/>
      <c r="I7" s="243"/>
      <c r="J7" s="243"/>
      <c r="K7" s="243"/>
      <c r="L7" s="243"/>
      <c r="M7" s="243"/>
      <c r="N7" s="243"/>
      <c r="O7" s="243"/>
      <c r="P7" s="243"/>
      <c r="Q7" s="243"/>
    </row>
    <row r="8" spans="1:35" s="244" customFormat="1" ht="16.5" hidden="1" customHeight="1" x14ac:dyDescent="0.35">
      <c r="A8" s="241" t="s">
        <v>134</v>
      </c>
      <c r="B8" s="242" t="s">
        <v>3</v>
      </c>
      <c r="C8" s="243"/>
      <c r="D8" s="243"/>
      <c r="E8" s="243"/>
      <c r="F8" s="243"/>
      <c r="G8" s="243"/>
      <c r="H8" s="243"/>
      <c r="I8" s="243"/>
      <c r="J8" s="243"/>
      <c r="K8" s="243"/>
      <c r="L8" s="243"/>
      <c r="M8" s="243"/>
      <c r="N8" s="243"/>
      <c r="O8" s="243"/>
      <c r="P8" s="243"/>
      <c r="Q8" s="243"/>
    </row>
    <row r="9" spans="1:35" s="244" customFormat="1" ht="16.5" hidden="1" customHeight="1" x14ac:dyDescent="0.35">
      <c r="A9" s="241" t="s">
        <v>134</v>
      </c>
      <c r="B9" s="242" t="s">
        <v>3</v>
      </c>
      <c r="C9" s="243"/>
      <c r="D9" s="243"/>
      <c r="E9" s="243"/>
      <c r="F9" s="243"/>
      <c r="G9" s="243"/>
      <c r="H9" s="243"/>
      <c r="I9" s="243"/>
      <c r="J9" s="243"/>
      <c r="K9" s="243"/>
      <c r="L9" s="243"/>
      <c r="M9" s="243"/>
      <c r="N9" s="243"/>
      <c r="O9" s="243"/>
      <c r="P9" s="243"/>
      <c r="Q9" s="243"/>
    </row>
    <row r="10" spans="1:35" s="244" customFormat="1" ht="16.5" hidden="1" customHeight="1" x14ac:dyDescent="0.35">
      <c r="A10" s="241" t="s">
        <v>134</v>
      </c>
      <c r="B10" s="242" t="s">
        <v>3</v>
      </c>
      <c r="C10" s="243"/>
      <c r="D10" s="243"/>
      <c r="E10" s="243"/>
      <c r="F10" s="243"/>
      <c r="G10" s="243"/>
      <c r="H10" s="243"/>
      <c r="I10" s="243"/>
      <c r="J10" s="243"/>
      <c r="K10" s="243"/>
      <c r="L10" s="243"/>
      <c r="M10" s="243"/>
      <c r="N10" s="243"/>
      <c r="O10" s="243"/>
      <c r="P10" s="243"/>
      <c r="Q10" s="243"/>
    </row>
    <row r="11" spans="1:35" s="244" customFormat="1" ht="16.5" hidden="1" customHeight="1" x14ac:dyDescent="0.35">
      <c r="A11" s="241" t="s">
        <v>134</v>
      </c>
      <c r="B11" s="242" t="s">
        <v>3</v>
      </c>
      <c r="C11" s="243"/>
      <c r="D11" s="243"/>
      <c r="E11" s="243"/>
      <c r="F11" s="243"/>
      <c r="G11" s="243"/>
      <c r="H11" s="243"/>
      <c r="I11" s="243"/>
      <c r="J11" s="243"/>
      <c r="K11" s="243"/>
      <c r="L11" s="243"/>
      <c r="M11" s="243"/>
      <c r="N11" s="243"/>
      <c r="O11" s="243"/>
      <c r="P11" s="243"/>
      <c r="Q11" s="243"/>
    </row>
    <row r="12" spans="1:35" s="244" customFormat="1" ht="16.5" hidden="1" customHeight="1" x14ac:dyDescent="0.35">
      <c r="A12" s="241" t="s">
        <v>134</v>
      </c>
      <c r="B12" s="242" t="s">
        <v>3</v>
      </c>
      <c r="C12" s="243"/>
      <c r="D12" s="243"/>
      <c r="E12" s="243"/>
      <c r="F12" s="243"/>
      <c r="G12" s="243"/>
      <c r="H12" s="243"/>
      <c r="I12" s="243"/>
      <c r="J12" s="243"/>
      <c r="K12" s="243"/>
      <c r="L12" s="243"/>
      <c r="M12" s="243"/>
      <c r="N12" s="243"/>
      <c r="O12" s="243"/>
      <c r="P12" s="243"/>
      <c r="Q12" s="243"/>
    </row>
    <row r="13" spans="1:35" ht="16.5" customHeight="1" x14ac:dyDescent="0.35">
      <c r="A13" s="241" t="s">
        <v>117</v>
      </c>
      <c r="B13" s="242" t="s">
        <v>3</v>
      </c>
      <c r="C13" s="245">
        <f>'2. Tulud-kulud projektiga'!D53</f>
        <v>0</v>
      </c>
      <c r="D13" s="245">
        <f>'2. Tulud-kulud projektiga'!E53</f>
        <v>0</v>
      </c>
      <c r="E13" s="245">
        <f>'2. Tulud-kulud projektiga'!F53</f>
        <v>0</v>
      </c>
      <c r="F13" s="245">
        <f>'2. Tulud-kulud projektiga'!G53</f>
        <v>155660</v>
      </c>
      <c r="G13" s="245">
        <f>'2. Tulud-kulud projektiga'!H53</f>
        <v>109620</v>
      </c>
      <c r="H13" s="245">
        <f>'2. Tulud-kulud projektiga'!I53</f>
        <v>73520</v>
      </c>
      <c r="I13" s="245">
        <f>'2. Tulud-kulud projektiga'!J53</f>
        <v>72500</v>
      </c>
      <c r="J13" s="245">
        <f>'2. Tulud-kulud projektiga'!K53</f>
        <v>72880</v>
      </c>
      <c r="K13" s="245">
        <f>'2. Tulud-kulud projektiga'!L53</f>
        <v>115160</v>
      </c>
      <c r="L13" s="245">
        <f>'2. Tulud-kulud projektiga'!M53</f>
        <v>110560</v>
      </c>
      <c r="M13" s="245">
        <f>'2. Tulud-kulud projektiga'!N53</f>
        <v>134860</v>
      </c>
      <c r="N13" s="245">
        <f>'2. Tulud-kulud projektiga'!O53</f>
        <v>71140</v>
      </c>
      <c r="O13" s="245">
        <f>'2. Tulud-kulud projektiga'!P53</f>
        <v>0</v>
      </c>
      <c r="P13" s="245">
        <f>'2. Tulud-kulud projektiga'!Q53</f>
        <v>0</v>
      </c>
      <c r="Q13" s="245">
        <f>'2. Tulud-kulud projektiga'!R53</f>
        <v>0</v>
      </c>
    </row>
    <row r="14" spans="1:35" ht="16.5" hidden="1" customHeight="1" x14ac:dyDescent="0.35">
      <c r="A14" s="241" t="s">
        <v>172</v>
      </c>
      <c r="B14" s="242" t="s">
        <v>3</v>
      </c>
      <c r="C14" s="11"/>
      <c r="D14" s="11"/>
      <c r="E14" s="11"/>
      <c r="F14" s="11"/>
      <c r="G14" s="11"/>
      <c r="H14" s="11"/>
      <c r="I14" s="11"/>
      <c r="J14" s="11"/>
      <c r="K14" s="11"/>
      <c r="L14" s="11"/>
      <c r="M14" s="11"/>
      <c r="N14" s="11"/>
      <c r="O14" s="11"/>
      <c r="P14" s="11"/>
      <c r="Q14" s="11"/>
    </row>
    <row r="15" spans="1:35" ht="16.5" hidden="1" customHeight="1" x14ac:dyDescent="0.35">
      <c r="A15" s="241"/>
      <c r="B15" s="242" t="s">
        <v>3</v>
      </c>
      <c r="C15" s="11"/>
      <c r="D15" s="11"/>
      <c r="E15" s="11"/>
      <c r="F15" s="11"/>
      <c r="G15" s="11"/>
      <c r="H15" s="11"/>
      <c r="I15" s="11"/>
      <c r="J15" s="11"/>
      <c r="K15" s="11"/>
      <c r="L15" s="11"/>
      <c r="M15" s="11"/>
      <c r="N15" s="11"/>
      <c r="O15" s="11"/>
      <c r="P15" s="11"/>
      <c r="Q15" s="11"/>
    </row>
    <row r="16" spans="1:35" ht="16.5" customHeight="1" x14ac:dyDescent="0.35">
      <c r="A16" s="241" t="s">
        <v>273</v>
      </c>
      <c r="B16" s="242" t="s">
        <v>3</v>
      </c>
      <c r="C16" s="11"/>
      <c r="D16" s="11">
        <v>26000</v>
      </c>
      <c r="E16" s="11">
        <v>75000</v>
      </c>
      <c r="F16" s="11"/>
      <c r="G16" s="11"/>
      <c r="H16" s="11"/>
      <c r="I16" s="11"/>
      <c r="J16" s="11"/>
      <c r="K16" s="11"/>
      <c r="L16" s="11"/>
      <c r="M16" s="11"/>
      <c r="N16" s="11"/>
      <c r="O16" s="11"/>
      <c r="P16" s="11"/>
      <c r="Q16" s="11"/>
    </row>
    <row r="17" spans="1:35" ht="16.5" customHeight="1" x14ac:dyDescent="0.35">
      <c r="A17" s="241"/>
      <c r="B17" s="242" t="s">
        <v>3</v>
      </c>
      <c r="C17" s="11"/>
      <c r="D17" s="11"/>
      <c r="E17" s="11"/>
      <c r="F17" s="11"/>
      <c r="G17" s="11"/>
      <c r="H17" s="11"/>
      <c r="I17" s="11"/>
      <c r="J17" s="11"/>
      <c r="K17" s="11"/>
      <c r="L17" s="11"/>
      <c r="M17" s="11"/>
      <c r="N17" s="11"/>
      <c r="O17" s="11"/>
      <c r="P17" s="11"/>
      <c r="Q17" s="11"/>
    </row>
    <row r="18" spans="1:35" ht="16.5" customHeight="1" x14ac:dyDescent="0.35">
      <c r="A18" s="241"/>
      <c r="B18" s="242" t="s">
        <v>3</v>
      </c>
      <c r="C18" s="11"/>
      <c r="D18" s="11"/>
      <c r="E18" s="11"/>
      <c r="F18" s="11"/>
      <c r="G18" s="11"/>
      <c r="H18" s="11"/>
      <c r="I18" s="11"/>
      <c r="J18" s="11"/>
      <c r="K18" s="11"/>
      <c r="L18" s="11"/>
      <c r="M18" s="11"/>
      <c r="N18" s="11"/>
      <c r="O18" s="11"/>
      <c r="P18" s="11"/>
      <c r="Q18" s="11"/>
    </row>
    <row r="19" spans="1:35" ht="4.5" customHeight="1" x14ac:dyDescent="0.35">
      <c r="A19" s="238"/>
      <c r="B19" s="246"/>
      <c r="C19" s="18"/>
      <c r="D19" s="18"/>
      <c r="E19" s="18"/>
      <c r="F19" s="18"/>
      <c r="G19" s="18"/>
      <c r="H19" s="18"/>
      <c r="I19" s="18"/>
      <c r="J19" s="18"/>
      <c r="K19" s="18"/>
      <c r="L19" s="18"/>
      <c r="M19" s="18"/>
      <c r="N19" s="18"/>
      <c r="O19" s="18"/>
      <c r="P19" s="18"/>
      <c r="Q19" s="19"/>
    </row>
    <row r="20" spans="1:35" s="250" customFormat="1" ht="22.5" customHeight="1" x14ac:dyDescent="0.35">
      <c r="A20" s="247" t="s">
        <v>118</v>
      </c>
      <c r="B20" s="248" t="s">
        <v>3</v>
      </c>
      <c r="C20" s="249">
        <f t="shared" ref="C20:P20" si="3">SUM(C7:C18)</f>
        <v>50000</v>
      </c>
      <c r="D20" s="249">
        <f t="shared" si="3"/>
        <v>1248522.28</v>
      </c>
      <c r="E20" s="249">
        <f t="shared" si="3"/>
        <v>75000</v>
      </c>
      <c r="F20" s="249">
        <f t="shared" si="3"/>
        <v>155660</v>
      </c>
      <c r="G20" s="249">
        <f t="shared" si="3"/>
        <v>109620</v>
      </c>
      <c r="H20" s="249">
        <f t="shared" si="3"/>
        <v>73520</v>
      </c>
      <c r="I20" s="249">
        <f t="shared" si="3"/>
        <v>72500</v>
      </c>
      <c r="J20" s="249">
        <f t="shared" si="3"/>
        <v>72880</v>
      </c>
      <c r="K20" s="249">
        <f t="shared" si="3"/>
        <v>115160</v>
      </c>
      <c r="L20" s="249">
        <f t="shared" si="3"/>
        <v>110560</v>
      </c>
      <c r="M20" s="249">
        <f t="shared" si="3"/>
        <v>134860</v>
      </c>
      <c r="N20" s="249">
        <f t="shared" si="3"/>
        <v>71140</v>
      </c>
      <c r="O20" s="249">
        <f t="shared" si="3"/>
        <v>0</v>
      </c>
      <c r="P20" s="249">
        <f t="shared" si="3"/>
        <v>0</v>
      </c>
      <c r="Q20" s="249">
        <f t="shared" ref="Q20" si="4">SUM(Q7:Q18)</f>
        <v>0</v>
      </c>
      <c r="R20" s="3"/>
      <c r="S20" s="3"/>
      <c r="T20" s="3"/>
      <c r="U20" s="3"/>
      <c r="V20" s="3"/>
      <c r="W20" s="3"/>
      <c r="X20" s="3"/>
      <c r="Y20" s="3"/>
      <c r="Z20" s="3"/>
      <c r="AA20" s="3"/>
      <c r="AB20" s="3"/>
      <c r="AC20" s="3"/>
      <c r="AD20" s="3"/>
      <c r="AE20" s="3"/>
      <c r="AF20" s="3"/>
      <c r="AG20" s="3"/>
      <c r="AH20" s="3"/>
      <c r="AI20" s="3"/>
    </row>
    <row r="21" spans="1:35" s="250" customFormat="1" ht="4.5" customHeight="1" x14ac:dyDescent="0.35">
      <c r="A21" s="251"/>
      <c r="B21" s="246"/>
      <c r="C21" s="252"/>
      <c r="D21" s="252"/>
      <c r="E21" s="252"/>
      <c r="F21" s="252"/>
      <c r="G21" s="252"/>
      <c r="H21" s="252"/>
      <c r="I21" s="252"/>
      <c r="J21" s="252"/>
      <c r="K21" s="252"/>
      <c r="L21" s="252"/>
      <c r="M21" s="252"/>
      <c r="N21" s="252"/>
      <c r="O21" s="252"/>
      <c r="P21" s="252"/>
      <c r="Q21" s="253"/>
      <c r="R21" s="3"/>
      <c r="S21" s="3"/>
      <c r="T21" s="3"/>
      <c r="U21" s="3"/>
      <c r="V21" s="3"/>
      <c r="W21" s="3"/>
      <c r="X21" s="3"/>
      <c r="Y21" s="3"/>
      <c r="Z21" s="3"/>
      <c r="AA21" s="3"/>
      <c r="AB21" s="3"/>
      <c r="AC21" s="3"/>
      <c r="AD21" s="3"/>
      <c r="AE21" s="3"/>
      <c r="AF21" s="3"/>
      <c r="AG21" s="3"/>
      <c r="AH21" s="3"/>
      <c r="AI21" s="3"/>
    </row>
    <row r="22" spans="1:35" ht="20.25" customHeight="1" x14ac:dyDescent="0.35">
      <c r="A22" s="254"/>
      <c r="B22" s="255"/>
      <c r="C22" s="256"/>
      <c r="D22" s="256"/>
      <c r="E22" s="256"/>
      <c r="F22" s="256"/>
      <c r="G22" s="256"/>
      <c r="H22" s="256"/>
      <c r="I22" s="256"/>
      <c r="J22" s="256"/>
      <c r="K22" s="256"/>
      <c r="L22" s="256"/>
      <c r="M22" s="256"/>
      <c r="N22" s="256"/>
      <c r="O22" s="256"/>
      <c r="P22" s="256"/>
      <c r="Q22" s="256"/>
    </row>
    <row r="23" spans="1:35" ht="20.25" customHeight="1" x14ac:dyDescent="0.35">
      <c r="A23" s="233" t="s">
        <v>119</v>
      </c>
      <c r="B23" s="257"/>
      <c r="C23" s="11"/>
      <c r="D23" s="11"/>
      <c r="E23" s="11"/>
      <c r="F23" s="11"/>
      <c r="G23" s="11"/>
      <c r="H23" s="11"/>
      <c r="I23" s="11"/>
      <c r="J23" s="11"/>
      <c r="K23" s="11"/>
      <c r="L23" s="11"/>
      <c r="M23" s="11"/>
      <c r="N23" s="11"/>
      <c r="O23" s="11"/>
      <c r="P23" s="11"/>
      <c r="Q23" s="11"/>
    </row>
    <row r="24" spans="1:35" ht="4.5" customHeight="1" x14ac:dyDescent="0.35">
      <c r="A24" s="240"/>
      <c r="B24" s="246"/>
      <c r="C24" s="18"/>
      <c r="D24" s="18"/>
      <c r="E24" s="18"/>
      <c r="F24" s="18"/>
      <c r="G24" s="18"/>
      <c r="H24" s="18"/>
      <c r="I24" s="18"/>
      <c r="J24" s="18"/>
      <c r="K24" s="18"/>
      <c r="L24" s="18"/>
      <c r="M24" s="18"/>
      <c r="N24" s="18"/>
      <c r="O24" s="18"/>
      <c r="P24" s="18"/>
      <c r="Q24" s="19"/>
    </row>
    <row r="25" spans="1:35" ht="16.5" customHeight="1" x14ac:dyDescent="0.35">
      <c r="A25" s="241" t="s">
        <v>129</v>
      </c>
      <c r="B25" s="242" t="s">
        <v>3</v>
      </c>
      <c r="C25" s="245">
        <f>'1. Projekti elluviimise kulud'!D23</f>
        <v>50000</v>
      </c>
      <c r="D25" s="245">
        <f>'1. Projekti elluviimise kulud'!E23</f>
        <v>1222522.28</v>
      </c>
      <c r="E25" s="245">
        <f>'1. Projekti elluviimise kulud'!F23</f>
        <v>0</v>
      </c>
      <c r="F25" s="245">
        <f>'1. Projekti elluviimise kulud'!G23</f>
        <v>0</v>
      </c>
      <c r="G25" s="245">
        <f>'1. Projekti elluviimise kulud'!H23</f>
        <v>0</v>
      </c>
      <c r="H25" s="245">
        <f>'1. Projekti elluviimise kulud'!I23</f>
        <v>0</v>
      </c>
      <c r="I25" s="258"/>
      <c r="J25" s="258"/>
      <c r="K25" s="258"/>
      <c r="L25" s="258"/>
      <c r="M25" s="258"/>
      <c r="N25" s="258"/>
      <c r="O25" s="258"/>
      <c r="P25" s="258"/>
      <c r="Q25" s="258"/>
    </row>
    <row r="26" spans="1:35" ht="16.5" customHeight="1" x14ac:dyDescent="0.35">
      <c r="A26" s="241" t="s">
        <v>130</v>
      </c>
      <c r="B26" s="242" t="s">
        <v>3</v>
      </c>
      <c r="C26" s="245">
        <f>'2. Tulud-kulud projektiga'!D118</f>
        <v>0</v>
      </c>
      <c r="D26" s="245">
        <f>'2. Tulud-kulud projektiga'!E118</f>
        <v>25728.785</v>
      </c>
      <c r="E26" s="245">
        <f>'2. Tulud-kulud projektiga'!F118</f>
        <v>73971.718333333338</v>
      </c>
      <c r="F26" s="245">
        <f>'2. Tulud-kulud projektiga'!G118</f>
        <v>79181.067999999999</v>
      </c>
      <c r="G26" s="245">
        <f>'2. Tulud-kulud projektiga'!H118</f>
        <v>78449.251000000004</v>
      </c>
      <c r="H26" s="245">
        <f>'2. Tulud-kulud projektiga'!I118</f>
        <v>77878.541000000012</v>
      </c>
      <c r="I26" s="245">
        <f>'2. Tulud-kulud projektiga'!J118</f>
        <v>77844.810000000012</v>
      </c>
      <c r="J26" s="245">
        <f>'2. Tulud-kulud projektiga'!K118</f>
        <v>77832.40400000001</v>
      </c>
      <c r="K26" s="245">
        <f>'2. Tulud-kulud projektiga'!L118</f>
        <v>78450.498000000007</v>
      </c>
      <c r="L26" s="245">
        <f>'2. Tulud-kulud projektiga'!M118</f>
        <v>78352.478000000003</v>
      </c>
      <c r="M26" s="245">
        <f>'2. Tulud-kulud projektiga'!N118</f>
        <v>78690.553</v>
      </c>
      <c r="N26" s="245">
        <f>'2. Tulud-kulud projektiga'!O118</f>
        <v>77697.852000000014</v>
      </c>
      <c r="O26" s="245">
        <f>'2. Tulud-kulud projektiga'!P118</f>
        <v>79609.41</v>
      </c>
      <c r="P26" s="245">
        <f>'2. Tulud-kulud projektiga'!Q118</f>
        <v>33355.410000000003</v>
      </c>
      <c r="Q26" s="245">
        <f>'2. Tulud-kulud projektiga'!R118</f>
        <v>32389.600000000002</v>
      </c>
    </row>
    <row r="27" spans="1:35" ht="16.5" hidden="1" customHeight="1" x14ac:dyDescent="0.35">
      <c r="A27" s="241"/>
      <c r="B27" s="242" t="s">
        <v>3</v>
      </c>
      <c r="C27" s="11"/>
      <c r="D27" s="11"/>
      <c r="E27" s="11"/>
      <c r="F27" s="11"/>
      <c r="G27" s="11"/>
      <c r="H27" s="11"/>
      <c r="I27" s="11"/>
      <c r="J27" s="11"/>
      <c r="K27" s="11"/>
      <c r="L27" s="11"/>
      <c r="M27" s="11"/>
      <c r="N27" s="11"/>
      <c r="O27" s="11"/>
      <c r="P27" s="11"/>
      <c r="Q27" s="11"/>
    </row>
    <row r="28" spans="1:35" ht="16.5" customHeight="1" x14ac:dyDescent="0.35">
      <c r="A28" s="241" t="s">
        <v>332</v>
      </c>
      <c r="B28" s="242" t="s">
        <v>3</v>
      </c>
      <c r="C28" s="11"/>
      <c r="D28" s="11"/>
      <c r="E28" s="11"/>
      <c r="F28" s="11">
        <v>65000</v>
      </c>
      <c r="G28" s="11"/>
      <c r="H28" s="11"/>
      <c r="I28" s="11"/>
      <c r="J28" s="11"/>
      <c r="K28" s="11"/>
      <c r="L28" s="11"/>
      <c r="M28" s="11"/>
      <c r="N28" s="11"/>
      <c r="O28" s="11"/>
      <c r="P28" s="11"/>
      <c r="Q28" s="11"/>
    </row>
    <row r="29" spans="1:35" ht="16.5" hidden="1" customHeight="1" x14ac:dyDescent="0.35">
      <c r="A29" s="241" t="s">
        <v>121</v>
      </c>
      <c r="B29" s="242" t="s">
        <v>3</v>
      </c>
      <c r="C29" s="11"/>
      <c r="D29" s="11"/>
      <c r="E29" s="11"/>
      <c r="F29" s="11"/>
      <c r="G29" s="11"/>
      <c r="H29" s="11"/>
      <c r="I29" s="11"/>
      <c r="J29" s="11"/>
      <c r="K29" s="11"/>
      <c r="L29" s="11"/>
      <c r="M29" s="11"/>
      <c r="N29" s="11"/>
      <c r="O29" s="11"/>
      <c r="P29" s="11"/>
      <c r="Q29" s="11"/>
    </row>
    <row r="30" spans="1:35" ht="16.5" hidden="1" customHeight="1" x14ac:dyDescent="0.35">
      <c r="A30" s="241"/>
      <c r="B30" s="242" t="s">
        <v>3</v>
      </c>
      <c r="C30" s="11"/>
      <c r="D30" s="11"/>
      <c r="E30" s="11"/>
      <c r="F30" s="11"/>
      <c r="G30" s="11"/>
      <c r="H30" s="11"/>
      <c r="I30" s="11"/>
      <c r="J30" s="11"/>
      <c r="K30" s="11"/>
      <c r="L30" s="11"/>
      <c r="M30" s="11"/>
      <c r="N30" s="11"/>
      <c r="O30" s="11"/>
      <c r="P30" s="11"/>
      <c r="Q30" s="11"/>
    </row>
    <row r="31" spans="1:35" ht="16.5" hidden="1" customHeight="1" x14ac:dyDescent="0.35">
      <c r="A31" s="241"/>
      <c r="B31" s="242" t="s">
        <v>3</v>
      </c>
      <c r="C31" s="11"/>
      <c r="D31" s="11"/>
      <c r="E31" s="11"/>
      <c r="F31" s="11"/>
      <c r="G31" s="11"/>
      <c r="H31" s="11"/>
      <c r="I31" s="11"/>
      <c r="J31" s="11"/>
      <c r="K31" s="11"/>
      <c r="L31" s="11"/>
      <c r="M31" s="11"/>
      <c r="N31" s="11"/>
      <c r="O31" s="11"/>
      <c r="P31" s="11"/>
      <c r="Q31" s="11"/>
    </row>
    <row r="32" spans="1:35" ht="4.5" customHeight="1" x14ac:dyDescent="0.35">
      <c r="A32" s="259"/>
      <c r="B32" s="260"/>
      <c r="C32" s="258"/>
      <c r="D32" s="258"/>
      <c r="E32" s="258"/>
      <c r="F32" s="258"/>
      <c r="G32" s="258"/>
      <c r="H32" s="258"/>
      <c r="I32" s="258"/>
      <c r="J32" s="258"/>
      <c r="K32" s="258"/>
      <c r="L32" s="258"/>
      <c r="M32" s="258"/>
      <c r="N32" s="258"/>
      <c r="O32" s="258"/>
      <c r="P32" s="258"/>
      <c r="Q32" s="258"/>
    </row>
    <row r="33" spans="1:35" s="250" customFormat="1" ht="22.5" customHeight="1" x14ac:dyDescent="0.35">
      <c r="A33" s="247" t="s">
        <v>122</v>
      </c>
      <c r="B33" s="248" t="s">
        <v>3</v>
      </c>
      <c r="C33" s="249">
        <f t="shared" ref="C33:P33" si="5">SUM(C25:C31)</f>
        <v>50000</v>
      </c>
      <c r="D33" s="249">
        <f t="shared" si="5"/>
        <v>1248251.0649999999</v>
      </c>
      <c r="E33" s="249">
        <f t="shared" si="5"/>
        <v>73971.718333333338</v>
      </c>
      <c r="F33" s="249">
        <f t="shared" si="5"/>
        <v>144181.068</v>
      </c>
      <c r="G33" s="249">
        <f t="shared" si="5"/>
        <v>78449.251000000004</v>
      </c>
      <c r="H33" s="249">
        <f t="shared" si="5"/>
        <v>77878.541000000012</v>
      </c>
      <c r="I33" s="249">
        <f t="shared" si="5"/>
        <v>77844.810000000012</v>
      </c>
      <c r="J33" s="249">
        <f t="shared" si="5"/>
        <v>77832.40400000001</v>
      </c>
      <c r="K33" s="249">
        <f t="shared" si="5"/>
        <v>78450.498000000007</v>
      </c>
      <c r="L33" s="249">
        <f t="shared" si="5"/>
        <v>78352.478000000003</v>
      </c>
      <c r="M33" s="249">
        <f t="shared" si="5"/>
        <v>78690.553</v>
      </c>
      <c r="N33" s="249">
        <f t="shared" si="5"/>
        <v>77697.852000000014</v>
      </c>
      <c r="O33" s="249">
        <f t="shared" si="5"/>
        <v>79609.41</v>
      </c>
      <c r="P33" s="249">
        <f t="shared" si="5"/>
        <v>33355.410000000003</v>
      </c>
      <c r="Q33" s="249">
        <f t="shared" ref="Q33" si="6">SUM(Q25:Q31)</f>
        <v>32389.600000000002</v>
      </c>
      <c r="R33" s="3"/>
      <c r="S33" s="3"/>
      <c r="T33" s="3"/>
      <c r="U33" s="3"/>
      <c r="V33" s="3"/>
      <c r="W33" s="3"/>
      <c r="X33" s="3"/>
      <c r="Y33" s="3"/>
      <c r="Z33" s="3"/>
      <c r="AA33" s="3"/>
      <c r="AB33" s="3"/>
      <c r="AC33" s="3"/>
      <c r="AD33" s="3"/>
      <c r="AE33" s="3"/>
      <c r="AF33" s="3"/>
      <c r="AG33" s="3"/>
      <c r="AH33" s="3"/>
      <c r="AI33" s="3"/>
    </row>
    <row r="34" spans="1:35" s="250" customFormat="1" ht="4.5" customHeight="1" x14ac:dyDescent="0.35">
      <c r="A34" s="251"/>
      <c r="B34" s="246"/>
      <c r="C34" s="252"/>
      <c r="D34" s="252"/>
      <c r="E34" s="252"/>
      <c r="F34" s="252"/>
      <c r="G34" s="252"/>
      <c r="H34" s="252"/>
      <c r="I34" s="252"/>
      <c r="J34" s="252"/>
      <c r="K34" s="252"/>
      <c r="L34" s="252"/>
      <c r="M34" s="252"/>
      <c r="N34" s="252"/>
      <c r="O34" s="252"/>
      <c r="P34" s="252"/>
      <c r="Q34" s="253"/>
      <c r="R34" s="3"/>
      <c r="S34" s="3"/>
      <c r="T34" s="3"/>
      <c r="U34" s="3"/>
      <c r="V34" s="3"/>
      <c r="W34" s="3"/>
      <c r="X34" s="3"/>
      <c r="Y34" s="3"/>
      <c r="Z34" s="3"/>
      <c r="AA34" s="3"/>
      <c r="AB34" s="3"/>
      <c r="AC34" s="3"/>
      <c r="AD34" s="3"/>
      <c r="AE34" s="3"/>
      <c r="AF34" s="3"/>
      <c r="AG34" s="3"/>
      <c r="AH34" s="3"/>
      <c r="AI34" s="3"/>
    </row>
    <row r="35" spans="1:35" s="250" customFormat="1" ht="18.75" customHeight="1" x14ac:dyDescent="0.35">
      <c r="A35" s="261"/>
      <c r="B35" s="255"/>
      <c r="C35" s="262"/>
      <c r="D35" s="262"/>
      <c r="E35" s="262"/>
      <c r="F35" s="262"/>
      <c r="G35" s="262"/>
      <c r="H35" s="262"/>
      <c r="I35" s="262"/>
      <c r="J35" s="262"/>
      <c r="K35" s="262"/>
      <c r="L35" s="262"/>
      <c r="M35" s="262"/>
      <c r="N35" s="262"/>
      <c r="O35" s="262"/>
      <c r="P35" s="262"/>
      <c r="Q35" s="276"/>
      <c r="R35" s="3"/>
      <c r="S35" s="3"/>
      <c r="T35" s="3"/>
      <c r="U35" s="3"/>
      <c r="V35" s="3"/>
      <c r="W35" s="3"/>
      <c r="X35" s="3"/>
      <c r="Y35" s="3"/>
      <c r="Z35" s="3"/>
      <c r="AA35" s="3"/>
      <c r="AB35" s="3"/>
      <c r="AC35" s="3"/>
      <c r="AD35" s="3"/>
      <c r="AE35" s="3"/>
      <c r="AF35" s="3"/>
      <c r="AG35" s="3"/>
      <c r="AH35" s="3"/>
      <c r="AI35" s="3"/>
    </row>
    <row r="36" spans="1:35" s="266" customFormat="1" ht="18" customHeight="1" x14ac:dyDescent="0.35">
      <c r="A36" s="263" t="s">
        <v>123</v>
      </c>
      <c r="B36" s="248" t="s">
        <v>3</v>
      </c>
      <c r="C36" s="264">
        <f t="shared" ref="C36:P36" si="7">C20-C33</f>
        <v>0</v>
      </c>
      <c r="D36" s="264">
        <f t="shared" si="7"/>
        <v>271.21500000008382</v>
      </c>
      <c r="E36" s="264">
        <f t="shared" si="7"/>
        <v>1028.2816666666622</v>
      </c>
      <c r="F36" s="264">
        <f t="shared" si="7"/>
        <v>11478.932000000001</v>
      </c>
      <c r="G36" s="264">
        <f t="shared" si="7"/>
        <v>31170.748999999996</v>
      </c>
      <c r="H36" s="264">
        <f t="shared" si="7"/>
        <v>-4358.541000000012</v>
      </c>
      <c r="I36" s="264">
        <f t="shared" si="7"/>
        <v>-5344.8100000000122</v>
      </c>
      <c r="J36" s="264">
        <f t="shared" si="7"/>
        <v>-4952.4040000000095</v>
      </c>
      <c r="K36" s="264">
        <f t="shared" si="7"/>
        <v>36709.501999999993</v>
      </c>
      <c r="L36" s="264">
        <f t="shared" si="7"/>
        <v>32207.521999999997</v>
      </c>
      <c r="M36" s="264">
        <f t="shared" si="7"/>
        <v>56169.447</v>
      </c>
      <c r="N36" s="264">
        <f t="shared" si="7"/>
        <v>-6557.8520000000135</v>
      </c>
      <c r="O36" s="264">
        <f t="shared" si="7"/>
        <v>-79609.41</v>
      </c>
      <c r="P36" s="264">
        <f t="shared" si="7"/>
        <v>-33355.410000000003</v>
      </c>
      <c r="Q36" s="264">
        <f t="shared" ref="Q36" si="8">Q20-Q33</f>
        <v>-32389.600000000002</v>
      </c>
      <c r="R36" s="265"/>
      <c r="S36" s="265"/>
      <c r="T36" s="265"/>
      <c r="U36" s="265"/>
      <c r="V36" s="265"/>
      <c r="W36" s="265"/>
      <c r="X36" s="265"/>
      <c r="Y36" s="265"/>
      <c r="Z36" s="265"/>
      <c r="AA36" s="265"/>
      <c r="AB36" s="265"/>
      <c r="AC36" s="265"/>
      <c r="AD36" s="265"/>
      <c r="AE36" s="265"/>
      <c r="AF36" s="265"/>
      <c r="AG36" s="265"/>
      <c r="AH36" s="265"/>
      <c r="AI36" s="265"/>
    </row>
    <row r="37" spans="1:35" ht="4.5" customHeight="1" x14ac:dyDescent="0.35">
      <c r="A37" s="238"/>
      <c r="B37" s="246"/>
      <c r="C37" s="18"/>
      <c r="D37" s="18"/>
      <c r="E37" s="18"/>
      <c r="F37" s="18"/>
      <c r="G37" s="18"/>
      <c r="H37" s="18"/>
      <c r="I37" s="18"/>
      <c r="J37" s="18"/>
      <c r="K37" s="18"/>
      <c r="L37" s="18"/>
      <c r="M37" s="18"/>
      <c r="N37" s="18"/>
      <c r="O37" s="18"/>
      <c r="P37" s="18"/>
      <c r="Q37" s="18"/>
    </row>
    <row r="38" spans="1:35" s="250" customFormat="1" ht="22.5" customHeight="1" x14ac:dyDescent="0.35">
      <c r="A38" s="247" t="s">
        <v>124</v>
      </c>
      <c r="B38" s="248" t="s">
        <v>3</v>
      </c>
      <c r="C38" s="249">
        <f>C36</f>
        <v>0</v>
      </c>
      <c r="D38" s="249">
        <f>C38+D36</f>
        <v>271.21500000008382</v>
      </c>
      <c r="E38" s="249">
        <f t="shared" ref="E38:O38" si="9">D38+E36</f>
        <v>1299.496666666746</v>
      </c>
      <c r="F38" s="249">
        <f t="shared" si="9"/>
        <v>12778.428666666747</v>
      </c>
      <c r="G38" s="249">
        <f t="shared" si="9"/>
        <v>43949.177666666743</v>
      </c>
      <c r="H38" s="249">
        <f t="shared" si="9"/>
        <v>39590.636666666731</v>
      </c>
      <c r="I38" s="249">
        <f t="shared" si="9"/>
        <v>34245.826666666719</v>
      </c>
      <c r="J38" s="249">
        <f t="shared" si="9"/>
        <v>29293.422666666709</v>
      </c>
      <c r="K38" s="249">
        <f t="shared" si="9"/>
        <v>66002.924666666702</v>
      </c>
      <c r="L38" s="249">
        <f t="shared" si="9"/>
        <v>98210.446666666699</v>
      </c>
      <c r="M38" s="249">
        <f t="shared" si="9"/>
        <v>154379.8936666667</v>
      </c>
      <c r="N38" s="249">
        <f t="shared" si="9"/>
        <v>147822.04166666669</v>
      </c>
      <c r="O38" s="249">
        <f t="shared" si="9"/>
        <v>68212.631666666683</v>
      </c>
      <c r="P38" s="249">
        <f t="shared" ref="P38" si="10">O38+P36</f>
        <v>34857.221666666679</v>
      </c>
      <c r="Q38" s="249">
        <f t="shared" ref="Q38" si="11">P38+Q36</f>
        <v>2467.6216666666769</v>
      </c>
      <c r="R38" s="3"/>
      <c r="S38" s="3"/>
      <c r="T38" s="3"/>
      <c r="U38" s="3"/>
      <c r="V38" s="3"/>
      <c r="W38" s="3"/>
      <c r="X38" s="3"/>
      <c r="Y38" s="3"/>
      <c r="Z38" s="3"/>
      <c r="AA38" s="3"/>
      <c r="AB38" s="3"/>
      <c r="AC38" s="3"/>
      <c r="AD38" s="3"/>
      <c r="AE38" s="3"/>
      <c r="AF38" s="3"/>
      <c r="AG38" s="3"/>
      <c r="AH38" s="3"/>
      <c r="AI38" s="3"/>
    </row>
    <row r="39" spans="1:35" ht="4.5" customHeight="1" x14ac:dyDescent="0.35">
      <c r="A39" s="238"/>
      <c r="B39" s="239"/>
      <c r="C39" s="18"/>
      <c r="D39" s="18"/>
      <c r="E39" s="18"/>
      <c r="F39" s="18"/>
      <c r="G39" s="18"/>
      <c r="H39" s="18"/>
      <c r="I39" s="18"/>
      <c r="J39" s="18"/>
      <c r="K39" s="18"/>
      <c r="L39" s="18"/>
      <c r="M39" s="18"/>
      <c r="N39" s="18"/>
      <c r="O39" s="18"/>
      <c r="P39" s="18"/>
      <c r="Q39" s="19"/>
    </row>
    <row r="41" spans="1:35" s="270" customFormat="1" ht="13" x14ac:dyDescent="0.35">
      <c r="A41" s="267" t="s">
        <v>125</v>
      </c>
      <c r="B41" s="267"/>
      <c r="C41" s="268">
        <f>C16-C28</f>
        <v>0</v>
      </c>
      <c r="D41" s="268">
        <f t="shared" ref="D41:O41" si="12">C41+D16-D28</f>
        <v>26000</v>
      </c>
      <c r="E41" s="268">
        <f t="shared" si="12"/>
        <v>101000</v>
      </c>
      <c r="F41" s="268">
        <f t="shared" si="12"/>
        <v>36000</v>
      </c>
      <c r="G41" s="268">
        <f t="shared" si="12"/>
        <v>36000</v>
      </c>
      <c r="H41" s="268">
        <f t="shared" si="12"/>
        <v>36000</v>
      </c>
      <c r="I41" s="268">
        <f t="shared" si="12"/>
        <v>36000</v>
      </c>
      <c r="J41" s="268">
        <f t="shared" si="12"/>
        <v>36000</v>
      </c>
      <c r="K41" s="268">
        <f t="shared" si="12"/>
        <v>36000</v>
      </c>
      <c r="L41" s="268">
        <f t="shared" si="12"/>
        <v>36000</v>
      </c>
      <c r="M41" s="268">
        <f t="shared" si="12"/>
        <v>36000</v>
      </c>
      <c r="N41" s="268">
        <f t="shared" si="12"/>
        <v>36000</v>
      </c>
      <c r="O41" s="268">
        <f t="shared" si="12"/>
        <v>36000</v>
      </c>
      <c r="P41" s="268">
        <f t="shared" ref="P41" si="13">O41+P16-P28</f>
        <v>36000</v>
      </c>
      <c r="Q41" s="268">
        <f t="shared" ref="Q41" si="14">P41+Q16-Q28</f>
        <v>36000</v>
      </c>
      <c r="R41" s="269"/>
      <c r="S41" s="269"/>
      <c r="T41" s="269"/>
      <c r="U41" s="269"/>
      <c r="V41" s="269"/>
      <c r="W41" s="269"/>
      <c r="X41" s="269"/>
      <c r="Y41" s="269"/>
      <c r="Z41" s="269"/>
      <c r="AA41" s="269"/>
      <c r="AB41" s="269"/>
      <c r="AC41" s="269"/>
      <c r="AD41" s="269"/>
      <c r="AE41" s="269"/>
      <c r="AF41" s="269"/>
      <c r="AG41" s="269"/>
      <c r="AH41" s="269"/>
      <c r="AI41" s="269"/>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workbookViewId="0">
      <selection activeCell="F17" sqref="F17"/>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95" t="s">
        <v>173</v>
      </c>
      <c r="H1" s="296" t="s">
        <v>174</v>
      </c>
    </row>
    <row r="2" spans="1:35" ht="8.25" customHeight="1" x14ac:dyDescent="0.35"/>
    <row r="3" spans="1:35" s="237" customFormat="1" ht="23.25" customHeight="1" x14ac:dyDescent="0.35">
      <c r="A3" s="233"/>
      <c r="B3" s="234"/>
      <c r="C3" s="297">
        <f>'2. Tulud-kulud projektiga'!D3</f>
        <v>2024</v>
      </c>
      <c r="D3" s="297">
        <f>C3+1</f>
        <v>2025</v>
      </c>
      <c r="E3" s="297">
        <f t="shared" ref="E3:O3" si="0">D3+1</f>
        <v>2026</v>
      </c>
      <c r="F3" s="297">
        <f t="shared" si="0"/>
        <v>2027</v>
      </c>
      <c r="G3" s="297">
        <f t="shared" si="0"/>
        <v>2028</v>
      </c>
      <c r="H3" s="297">
        <f t="shared" si="0"/>
        <v>2029</v>
      </c>
      <c r="I3" s="297">
        <f t="shared" si="0"/>
        <v>2030</v>
      </c>
      <c r="J3" s="297">
        <f t="shared" si="0"/>
        <v>2031</v>
      </c>
      <c r="K3" s="297">
        <f t="shared" si="0"/>
        <v>2032</v>
      </c>
      <c r="L3" s="297">
        <f t="shared" si="0"/>
        <v>2033</v>
      </c>
      <c r="M3" s="297">
        <f t="shared" si="0"/>
        <v>2034</v>
      </c>
      <c r="N3" s="297">
        <f t="shared" si="0"/>
        <v>2035</v>
      </c>
      <c r="O3" s="297">
        <f t="shared" si="0"/>
        <v>2036</v>
      </c>
      <c r="P3" s="297">
        <f t="shared" ref="P3" si="1">O3+1</f>
        <v>2037</v>
      </c>
      <c r="Q3" s="297">
        <f t="shared" ref="Q3" si="2">P3+1</f>
        <v>2038</v>
      </c>
      <c r="R3" s="298"/>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299"/>
      <c r="D4" s="299"/>
      <c r="E4" s="299"/>
      <c r="F4" s="299"/>
      <c r="G4" s="299"/>
      <c r="H4" s="299"/>
      <c r="I4" s="299"/>
      <c r="J4" s="299"/>
      <c r="K4" s="299"/>
      <c r="L4" s="299"/>
      <c r="M4" s="299"/>
      <c r="N4" s="299"/>
      <c r="O4" s="299"/>
      <c r="P4" s="299"/>
      <c r="Q4" s="300"/>
      <c r="R4" s="301"/>
    </row>
    <row r="5" spans="1:35" ht="20.25" customHeight="1" x14ac:dyDescent="0.35">
      <c r="A5" s="302" t="s">
        <v>175</v>
      </c>
      <c r="B5" s="303"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304" t="s">
        <v>176</v>
      </c>
      <c r="B7" s="305" t="s">
        <v>3</v>
      </c>
      <c r="C7" s="306">
        <f>'4. Lisanduvad tulud-kulud'!D53</f>
        <v>0</v>
      </c>
      <c r="D7" s="306">
        <f>'4. Lisanduvad tulud-kulud'!E53</f>
        <v>0</v>
      </c>
      <c r="E7" s="306">
        <f>'4. Lisanduvad tulud-kulud'!F53</f>
        <v>0</v>
      </c>
      <c r="F7" s="306">
        <f>'4. Lisanduvad tulud-kulud'!G53</f>
        <v>155660</v>
      </c>
      <c r="G7" s="306">
        <f>'4. Lisanduvad tulud-kulud'!H53</f>
        <v>109620</v>
      </c>
      <c r="H7" s="306">
        <f>'4. Lisanduvad tulud-kulud'!I53</f>
        <v>73520</v>
      </c>
      <c r="I7" s="306">
        <f>'4. Lisanduvad tulud-kulud'!J53</f>
        <v>72500</v>
      </c>
      <c r="J7" s="306">
        <f>'4. Lisanduvad tulud-kulud'!K53</f>
        <v>72880</v>
      </c>
      <c r="K7" s="306">
        <f>'4. Lisanduvad tulud-kulud'!L53</f>
        <v>115160</v>
      </c>
      <c r="L7" s="306">
        <f>'4. Lisanduvad tulud-kulud'!M53</f>
        <v>110560</v>
      </c>
      <c r="M7" s="306">
        <f>'4. Lisanduvad tulud-kulud'!N53</f>
        <v>134860</v>
      </c>
      <c r="N7" s="306">
        <f>'4. Lisanduvad tulud-kulud'!O53</f>
        <v>71140</v>
      </c>
      <c r="O7" s="306">
        <f>'4. Lisanduvad tulud-kulud'!P53</f>
        <v>0</v>
      </c>
      <c r="P7" s="306">
        <f>'4. Lisanduvad tulud-kulud'!Q53</f>
        <v>0</v>
      </c>
      <c r="Q7" s="306">
        <f>'4. Lisanduvad tulud-kulud'!R53</f>
        <v>0</v>
      </c>
    </row>
    <row r="8" spans="1:35" s="244" customFormat="1" ht="16.5" customHeight="1" x14ac:dyDescent="0.35">
      <c r="A8" s="307" t="s">
        <v>177</v>
      </c>
      <c r="B8" s="305" t="s">
        <v>3</v>
      </c>
      <c r="C8" s="308"/>
      <c r="D8" s="308"/>
      <c r="E8" s="308"/>
      <c r="F8" s="308"/>
      <c r="G8" s="308"/>
      <c r="H8" s="308"/>
      <c r="I8" s="308"/>
      <c r="J8" s="308"/>
      <c r="K8" s="308"/>
      <c r="L8" s="308"/>
      <c r="M8" s="308"/>
      <c r="N8" s="308"/>
      <c r="O8" s="308"/>
      <c r="P8" s="308"/>
      <c r="Q8" s="306">
        <f>'8. Jääkväärtus'!Q14</f>
        <v>0</v>
      </c>
    </row>
    <row r="9" spans="1:35" ht="16.5" hidden="1" customHeight="1" x14ac:dyDescent="0.35">
      <c r="A9" s="241"/>
      <c r="B9" s="242" t="s">
        <v>3</v>
      </c>
      <c r="C9" s="11"/>
      <c r="D9" s="11"/>
      <c r="E9" s="11"/>
      <c r="F9" s="11"/>
      <c r="G9" s="11"/>
      <c r="H9" s="11"/>
      <c r="I9" s="11"/>
      <c r="J9" s="11"/>
      <c r="K9" s="11"/>
      <c r="L9" s="11"/>
      <c r="M9" s="11"/>
      <c r="N9" s="11"/>
      <c r="O9" s="11"/>
      <c r="P9" s="11"/>
      <c r="Q9" s="11"/>
    </row>
    <row r="10" spans="1:35" ht="4.5" customHeight="1" x14ac:dyDescent="0.35">
      <c r="A10" s="238"/>
      <c r="B10" s="246"/>
      <c r="C10" s="18"/>
      <c r="D10" s="18"/>
      <c r="E10" s="18"/>
      <c r="F10" s="18"/>
      <c r="G10" s="18"/>
      <c r="H10" s="18"/>
      <c r="I10" s="18"/>
      <c r="J10" s="18"/>
      <c r="K10" s="18"/>
      <c r="L10" s="18"/>
      <c r="M10" s="18"/>
      <c r="N10" s="18"/>
      <c r="O10" s="18"/>
      <c r="P10" s="18"/>
      <c r="Q10" s="19"/>
    </row>
    <row r="11" spans="1:35" s="250" customFormat="1" ht="22.5" customHeight="1" x14ac:dyDescent="0.35">
      <c r="A11" s="309" t="s">
        <v>178</v>
      </c>
      <c r="B11" s="310" t="s">
        <v>3</v>
      </c>
      <c r="C11" s="311">
        <f t="shared" ref="C11:Q11" si="3">SUM(C7:C9)</f>
        <v>0</v>
      </c>
      <c r="D11" s="311">
        <f t="shared" si="3"/>
        <v>0</v>
      </c>
      <c r="E11" s="311">
        <f t="shared" si="3"/>
        <v>0</v>
      </c>
      <c r="F11" s="311">
        <f t="shared" si="3"/>
        <v>155660</v>
      </c>
      <c r="G11" s="311">
        <f t="shared" si="3"/>
        <v>109620</v>
      </c>
      <c r="H11" s="311">
        <f t="shared" si="3"/>
        <v>73520</v>
      </c>
      <c r="I11" s="311">
        <f t="shared" si="3"/>
        <v>72500</v>
      </c>
      <c r="J11" s="311">
        <f t="shared" si="3"/>
        <v>72880</v>
      </c>
      <c r="K11" s="311">
        <f t="shared" si="3"/>
        <v>115160</v>
      </c>
      <c r="L11" s="311">
        <f t="shared" si="3"/>
        <v>110560</v>
      </c>
      <c r="M11" s="311">
        <f t="shared" si="3"/>
        <v>134860</v>
      </c>
      <c r="N11" s="311">
        <f t="shared" si="3"/>
        <v>71140</v>
      </c>
      <c r="O11" s="311">
        <f t="shared" si="3"/>
        <v>0</v>
      </c>
      <c r="P11" s="311">
        <f t="shared" si="3"/>
        <v>0</v>
      </c>
      <c r="Q11" s="311">
        <f t="shared" si="3"/>
        <v>0</v>
      </c>
      <c r="R11" s="3"/>
      <c r="S11" s="3"/>
      <c r="T11" s="3"/>
      <c r="U11" s="3"/>
      <c r="V11" s="3"/>
      <c r="W11" s="3"/>
      <c r="X11" s="3"/>
      <c r="Y11" s="3"/>
      <c r="Z11" s="3"/>
      <c r="AA11" s="3"/>
      <c r="AB11" s="3"/>
      <c r="AC11" s="3"/>
      <c r="AD11" s="3"/>
      <c r="AE11" s="3"/>
      <c r="AF11" s="3"/>
      <c r="AG11" s="3"/>
      <c r="AH11" s="3"/>
      <c r="AI11" s="3"/>
    </row>
    <row r="12" spans="1:35" s="250" customFormat="1" ht="4.5" customHeight="1" x14ac:dyDescent="0.35">
      <c r="A12" s="251"/>
      <c r="B12" s="246"/>
      <c r="C12" s="252"/>
      <c r="D12" s="252"/>
      <c r="E12" s="252"/>
      <c r="F12" s="252"/>
      <c r="G12" s="252"/>
      <c r="H12" s="252"/>
      <c r="I12" s="252"/>
      <c r="J12" s="252"/>
      <c r="K12" s="252"/>
      <c r="L12" s="252"/>
      <c r="M12" s="252"/>
      <c r="N12" s="252"/>
      <c r="O12" s="252"/>
      <c r="P12" s="252"/>
      <c r="Q12" s="253"/>
      <c r="R12" s="3"/>
      <c r="S12" s="3"/>
      <c r="T12" s="3"/>
      <c r="U12" s="3"/>
      <c r="V12" s="3"/>
      <c r="W12" s="3"/>
      <c r="X12" s="3"/>
      <c r="Y12" s="3"/>
      <c r="Z12" s="3"/>
      <c r="AA12" s="3"/>
      <c r="AB12" s="3"/>
      <c r="AC12" s="3"/>
      <c r="AD12" s="3"/>
      <c r="AE12" s="3"/>
      <c r="AF12" s="3"/>
      <c r="AG12" s="3"/>
      <c r="AH12" s="3"/>
      <c r="AI12" s="3"/>
    </row>
    <row r="13" spans="1:35" ht="20.25" customHeight="1" x14ac:dyDescent="0.35">
      <c r="A13" s="254"/>
      <c r="B13" s="255"/>
      <c r="C13" s="256"/>
      <c r="D13" s="256"/>
      <c r="E13" s="256"/>
      <c r="F13" s="256"/>
      <c r="G13" s="256"/>
      <c r="H13" s="256"/>
      <c r="I13" s="256"/>
      <c r="J13" s="256"/>
      <c r="K13" s="256"/>
      <c r="L13" s="256"/>
      <c r="M13" s="256"/>
      <c r="N13" s="256"/>
      <c r="O13" s="256"/>
      <c r="P13" s="256"/>
      <c r="Q13" s="256"/>
    </row>
    <row r="14" spans="1:35" ht="20.25" customHeight="1" x14ac:dyDescent="0.35">
      <c r="A14" s="302" t="s">
        <v>179</v>
      </c>
      <c r="B14" s="257"/>
      <c r="C14" s="11"/>
      <c r="D14" s="11"/>
      <c r="E14" s="11"/>
      <c r="F14" s="11"/>
      <c r="G14" s="11"/>
      <c r="H14" s="11"/>
      <c r="I14" s="11"/>
      <c r="J14" s="11"/>
      <c r="K14" s="11"/>
      <c r="L14" s="11"/>
      <c r="M14" s="11"/>
      <c r="N14" s="11"/>
      <c r="O14" s="11"/>
      <c r="P14" s="11"/>
      <c r="Q14" s="11"/>
    </row>
    <row r="15" spans="1:35" ht="4.5" customHeight="1" x14ac:dyDescent="0.35">
      <c r="A15" s="240"/>
      <c r="B15" s="246"/>
      <c r="C15" s="18"/>
      <c r="D15" s="18"/>
      <c r="E15" s="18"/>
      <c r="F15" s="18"/>
      <c r="G15" s="18"/>
      <c r="H15" s="18"/>
      <c r="I15" s="18"/>
      <c r="J15" s="18"/>
      <c r="K15" s="18"/>
      <c r="L15" s="18"/>
      <c r="M15" s="18"/>
      <c r="N15" s="18"/>
      <c r="O15" s="18"/>
      <c r="P15" s="18"/>
      <c r="Q15" s="19"/>
    </row>
    <row r="16" spans="1:35" ht="16.5" customHeight="1" x14ac:dyDescent="0.35">
      <c r="A16" s="307" t="s">
        <v>180</v>
      </c>
      <c r="B16" s="305" t="s">
        <v>3</v>
      </c>
      <c r="C16" s="306">
        <f>'4. Lisanduvad tulud-kulud'!D118</f>
        <v>0</v>
      </c>
      <c r="D16" s="306">
        <f>'4. Lisanduvad tulud-kulud'!E118</f>
        <v>25728.785</v>
      </c>
      <c r="E16" s="306">
        <f>'4. Lisanduvad tulud-kulud'!F118</f>
        <v>73971.718333333338</v>
      </c>
      <c r="F16" s="306">
        <f>'4. Lisanduvad tulud-kulud'!G118</f>
        <v>79181.067999999999</v>
      </c>
      <c r="G16" s="306">
        <f>'4. Lisanduvad tulud-kulud'!H118</f>
        <v>78449.251000000004</v>
      </c>
      <c r="H16" s="306">
        <f>'4. Lisanduvad tulud-kulud'!I118</f>
        <v>77878.541000000012</v>
      </c>
      <c r="I16" s="306">
        <f>'4. Lisanduvad tulud-kulud'!J118</f>
        <v>77844.810000000012</v>
      </c>
      <c r="J16" s="306">
        <f>'4. Lisanduvad tulud-kulud'!K118</f>
        <v>77832.40400000001</v>
      </c>
      <c r="K16" s="306">
        <f>'4. Lisanduvad tulud-kulud'!L118</f>
        <v>78450.498000000007</v>
      </c>
      <c r="L16" s="306">
        <f>'4. Lisanduvad tulud-kulud'!M118</f>
        <v>78352.478000000003</v>
      </c>
      <c r="M16" s="306">
        <f>'4. Lisanduvad tulud-kulud'!N118</f>
        <v>78690.553</v>
      </c>
      <c r="N16" s="306">
        <f>'4. Lisanduvad tulud-kulud'!O118</f>
        <v>77697.852000000014</v>
      </c>
      <c r="O16" s="306">
        <f>'4. Lisanduvad tulud-kulud'!P118</f>
        <v>79609.41</v>
      </c>
      <c r="P16" s="306">
        <f>'4. Lisanduvad tulud-kulud'!Q118</f>
        <v>33355.410000000003</v>
      </c>
      <c r="Q16" s="306">
        <f>'4. Lisanduvad tulud-kulud'!R118</f>
        <v>32389.600000000002</v>
      </c>
    </row>
    <row r="17" spans="1:35" ht="16.5" customHeight="1" x14ac:dyDescent="0.35">
      <c r="A17" s="307" t="s">
        <v>120</v>
      </c>
      <c r="B17" s="305" t="s">
        <v>3</v>
      </c>
      <c r="C17" s="306">
        <f>'6. Rahavood'!C28</f>
        <v>0</v>
      </c>
      <c r="D17" s="306">
        <f>'6. Rahavood'!D28</f>
        <v>0</v>
      </c>
      <c r="E17" s="306">
        <f>'6. Rahavood'!E28</f>
        <v>0</v>
      </c>
      <c r="F17" s="306">
        <f>'6. Rahavood'!F28</f>
        <v>65000</v>
      </c>
      <c r="G17" s="306">
        <f>'6. Rahavood'!G28</f>
        <v>0</v>
      </c>
      <c r="H17" s="306">
        <f>'6. Rahavood'!H28</f>
        <v>0</v>
      </c>
      <c r="I17" s="306">
        <f>'6. Rahavood'!I28</f>
        <v>0</v>
      </c>
      <c r="J17" s="306">
        <f>'6. Rahavood'!J28</f>
        <v>0</v>
      </c>
      <c r="K17" s="306">
        <f>'6. Rahavood'!K28</f>
        <v>0</v>
      </c>
      <c r="L17" s="306">
        <f>'6. Rahavood'!L28</f>
        <v>0</v>
      </c>
      <c r="M17" s="306">
        <f>'6. Rahavood'!M28</f>
        <v>0</v>
      </c>
      <c r="N17" s="306">
        <f>'6. Rahavood'!N28</f>
        <v>0</v>
      </c>
      <c r="O17" s="306">
        <f>'6. Rahavood'!O28</f>
        <v>0</v>
      </c>
      <c r="P17" s="306">
        <f>'6. Rahavood'!P28</f>
        <v>0</v>
      </c>
      <c r="Q17" s="306">
        <f>'6. Rahavood'!Q28</f>
        <v>0</v>
      </c>
    </row>
    <row r="18" spans="1:35" ht="16.5" customHeight="1" x14ac:dyDescent="0.35">
      <c r="A18" s="307" t="s">
        <v>121</v>
      </c>
      <c r="B18" s="305" t="s">
        <v>3</v>
      </c>
      <c r="C18" s="306">
        <f>'6. Rahavood'!C29</f>
        <v>0</v>
      </c>
      <c r="D18" s="306">
        <f>'6. Rahavood'!D29</f>
        <v>0</v>
      </c>
      <c r="E18" s="306">
        <f>'6. Rahavood'!E29</f>
        <v>0</v>
      </c>
      <c r="F18" s="306">
        <f>'6. Rahavood'!F29</f>
        <v>0</v>
      </c>
      <c r="G18" s="306">
        <f>'6. Rahavood'!G29</f>
        <v>0</v>
      </c>
      <c r="H18" s="306">
        <f>'6. Rahavood'!H29</f>
        <v>0</v>
      </c>
      <c r="I18" s="306">
        <f>'6. Rahavood'!I29</f>
        <v>0</v>
      </c>
      <c r="J18" s="306">
        <f>'6. Rahavood'!J29</f>
        <v>0</v>
      </c>
      <c r="K18" s="306">
        <f>'6. Rahavood'!K29</f>
        <v>0</v>
      </c>
      <c r="L18" s="306">
        <f>'6. Rahavood'!L29</f>
        <v>0</v>
      </c>
      <c r="M18" s="306">
        <f>'6. Rahavood'!M29</f>
        <v>0</v>
      </c>
      <c r="N18" s="306">
        <f>'6. Rahavood'!N29</f>
        <v>0</v>
      </c>
      <c r="O18" s="306">
        <f>'6. Rahavood'!O29</f>
        <v>0</v>
      </c>
      <c r="P18" s="306">
        <f>'6. Rahavood'!P29</f>
        <v>0</v>
      </c>
      <c r="Q18" s="306">
        <f>'6. Rahavood'!Q29</f>
        <v>0</v>
      </c>
    </row>
    <row r="19" spans="1:35" ht="16.5" customHeight="1" x14ac:dyDescent="0.35">
      <c r="A19" s="307" t="s">
        <v>181</v>
      </c>
      <c r="B19" s="305" t="s">
        <v>3</v>
      </c>
      <c r="C19" s="306">
        <f>'6. Rahavood'!C14</f>
        <v>0</v>
      </c>
      <c r="D19" s="306">
        <f>'6. Rahavood'!D14</f>
        <v>0</v>
      </c>
      <c r="E19" s="306">
        <f>'6. Rahavood'!E14</f>
        <v>0</v>
      </c>
      <c r="F19" s="306">
        <f>'6. Rahavood'!F14</f>
        <v>0</v>
      </c>
      <c r="G19" s="306">
        <f>'6. Rahavood'!G14</f>
        <v>0</v>
      </c>
      <c r="H19" s="306">
        <f>'6. Rahavood'!H14</f>
        <v>0</v>
      </c>
      <c r="I19" s="306">
        <f>'6. Rahavood'!I14</f>
        <v>0</v>
      </c>
      <c r="J19" s="306">
        <f>'6. Rahavood'!J14</f>
        <v>0</v>
      </c>
      <c r="K19" s="306">
        <f>'6. Rahavood'!K14</f>
        <v>0</v>
      </c>
      <c r="L19" s="306">
        <f>'6. Rahavood'!L14</f>
        <v>0</v>
      </c>
      <c r="M19" s="306">
        <f>'6. Rahavood'!M14</f>
        <v>0</v>
      </c>
      <c r="N19" s="306">
        <f>'6. Rahavood'!N14</f>
        <v>0</v>
      </c>
      <c r="O19" s="306">
        <f>'6. Rahavood'!O14</f>
        <v>0</v>
      </c>
      <c r="P19" s="306">
        <f>'6. Rahavood'!P14</f>
        <v>0</v>
      </c>
      <c r="Q19" s="306">
        <f>'6. Rahavood'!Q14</f>
        <v>0</v>
      </c>
    </row>
    <row r="20" spans="1:35" ht="16.5" customHeight="1" x14ac:dyDescent="0.35">
      <c r="A20" s="307" t="s">
        <v>182</v>
      </c>
      <c r="B20" s="305" t="s">
        <v>3</v>
      </c>
      <c r="C20" s="306">
        <f>SUM('6. Rahavood'!C8:C12)</f>
        <v>0</v>
      </c>
      <c r="D20" s="306">
        <f>SUM('6. Rahavood'!D8:D12)</f>
        <v>0</v>
      </c>
      <c r="E20" s="306">
        <f>SUM('6. Rahavood'!E8:E12)</f>
        <v>0</v>
      </c>
      <c r="F20" s="306">
        <f>SUM('6. Rahavood'!F8:F12)</f>
        <v>0</v>
      </c>
      <c r="G20" s="306">
        <f>SUM('6. Rahavood'!G8:G12)</f>
        <v>0</v>
      </c>
      <c r="H20" s="306">
        <f>SUM('6. Rahavood'!H8:H12)</f>
        <v>0</v>
      </c>
      <c r="I20" s="306">
        <f>SUM('6. Rahavood'!I8:I12)</f>
        <v>0</v>
      </c>
      <c r="J20" s="306">
        <f>SUM('6. Rahavood'!J8:J12)</f>
        <v>0</v>
      </c>
      <c r="K20" s="306">
        <f>SUM('6. Rahavood'!K8:K12)</f>
        <v>0</v>
      </c>
      <c r="L20" s="306">
        <f>SUM('6. Rahavood'!L8:L12)</f>
        <v>0</v>
      </c>
      <c r="M20" s="306">
        <f>SUM('6. Rahavood'!M8:M12)</f>
        <v>0</v>
      </c>
      <c r="N20" s="306">
        <f>SUM('6. Rahavood'!N8:N12)</f>
        <v>0</v>
      </c>
      <c r="O20" s="306">
        <f>SUM('6. Rahavood'!O8:O12)</f>
        <v>0</v>
      </c>
      <c r="P20" s="306">
        <f>SUM('6. Rahavood'!P8:P12)</f>
        <v>0</v>
      </c>
      <c r="Q20" s="306">
        <f>SUM('6. Rahavood'!Q8:Q12)</f>
        <v>0</v>
      </c>
    </row>
    <row r="21" spans="1:35" ht="4.5" customHeight="1" x14ac:dyDescent="0.35">
      <c r="A21" s="259"/>
      <c r="B21" s="260"/>
      <c r="C21" s="258"/>
      <c r="D21" s="258"/>
      <c r="E21" s="258"/>
      <c r="F21" s="258"/>
      <c r="G21" s="258"/>
      <c r="H21" s="258"/>
      <c r="I21" s="258"/>
      <c r="J21" s="258"/>
      <c r="K21" s="258"/>
      <c r="L21" s="258"/>
      <c r="M21" s="258"/>
      <c r="N21" s="258"/>
      <c r="O21" s="258"/>
      <c r="P21" s="258"/>
      <c r="Q21" s="258"/>
    </row>
    <row r="22" spans="1:35" s="250" customFormat="1" ht="22.5" customHeight="1" x14ac:dyDescent="0.35">
      <c r="A22" s="309" t="s">
        <v>183</v>
      </c>
      <c r="B22" s="310" t="s">
        <v>3</v>
      </c>
      <c r="C22" s="311">
        <f t="shared" ref="C22:Q22" si="4">SUM(C16:C20)</f>
        <v>0</v>
      </c>
      <c r="D22" s="311">
        <f t="shared" si="4"/>
        <v>25728.785</v>
      </c>
      <c r="E22" s="311">
        <f t="shared" si="4"/>
        <v>73971.718333333338</v>
      </c>
      <c r="F22" s="311">
        <f t="shared" si="4"/>
        <v>144181.068</v>
      </c>
      <c r="G22" s="311">
        <f t="shared" si="4"/>
        <v>78449.251000000004</v>
      </c>
      <c r="H22" s="311">
        <f t="shared" si="4"/>
        <v>77878.541000000012</v>
      </c>
      <c r="I22" s="311">
        <f t="shared" si="4"/>
        <v>77844.810000000012</v>
      </c>
      <c r="J22" s="311">
        <f t="shared" si="4"/>
        <v>77832.40400000001</v>
      </c>
      <c r="K22" s="311">
        <f t="shared" si="4"/>
        <v>78450.498000000007</v>
      </c>
      <c r="L22" s="311">
        <f t="shared" si="4"/>
        <v>78352.478000000003</v>
      </c>
      <c r="M22" s="311">
        <f t="shared" si="4"/>
        <v>78690.553</v>
      </c>
      <c r="N22" s="311">
        <f t="shared" si="4"/>
        <v>77697.852000000014</v>
      </c>
      <c r="O22" s="311">
        <f t="shared" si="4"/>
        <v>79609.41</v>
      </c>
      <c r="P22" s="311">
        <f t="shared" si="4"/>
        <v>33355.410000000003</v>
      </c>
      <c r="Q22" s="311">
        <f t="shared" si="4"/>
        <v>32389.600000000002</v>
      </c>
      <c r="R22" s="3"/>
      <c r="S22" s="3"/>
      <c r="T22" s="3"/>
      <c r="U22" s="3"/>
      <c r="V22" s="3"/>
      <c r="W22" s="3"/>
      <c r="X22" s="3"/>
      <c r="Y22" s="3"/>
      <c r="Z22" s="3"/>
      <c r="AA22" s="3"/>
      <c r="AB22" s="3"/>
      <c r="AC22" s="3"/>
      <c r="AD22" s="3"/>
      <c r="AE22" s="3"/>
      <c r="AF22" s="3"/>
      <c r="AG22" s="3"/>
      <c r="AH22" s="3"/>
      <c r="AI22" s="3"/>
    </row>
    <row r="23" spans="1:35" s="250" customFormat="1" ht="4.5" customHeight="1" x14ac:dyDescent="0.35">
      <c r="A23" s="251"/>
      <c r="B23" s="246"/>
      <c r="C23" s="252"/>
      <c r="D23" s="252"/>
      <c r="E23" s="252"/>
      <c r="F23" s="252"/>
      <c r="G23" s="252"/>
      <c r="H23" s="252"/>
      <c r="I23" s="252"/>
      <c r="J23" s="252"/>
      <c r="K23" s="252"/>
      <c r="L23" s="252"/>
      <c r="M23" s="252"/>
      <c r="N23" s="252"/>
      <c r="O23" s="252"/>
      <c r="P23" s="252"/>
      <c r="Q23" s="253"/>
      <c r="R23" s="3"/>
      <c r="S23" s="3"/>
      <c r="T23" s="3"/>
      <c r="U23" s="3"/>
      <c r="V23" s="3"/>
      <c r="W23" s="3"/>
      <c r="X23" s="3"/>
      <c r="Y23" s="3"/>
      <c r="Z23" s="3"/>
      <c r="AA23" s="3"/>
      <c r="AB23" s="3"/>
      <c r="AC23" s="3"/>
      <c r="AD23" s="3"/>
      <c r="AE23" s="3"/>
      <c r="AF23" s="3"/>
      <c r="AG23" s="3"/>
      <c r="AH23" s="3"/>
      <c r="AI23" s="3"/>
    </row>
    <row r="24" spans="1:35" s="250" customFormat="1" ht="9" customHeight="1" x14ac:dyDescent="0.35">
      <c r="A24" s="261"/>
      <c r="B24" s="255"/>
      <c r="C24" s="262"/>
      <c r="D24" s="262"/>
      <c r="E24" s="262"/>
      <c r="F24" s="262"/>
      <c r="G24" s="262"/>
      <c r="H24" s="262"/>
      <c r="I24" s="262"/>
      <c r="J24" s="262"/>
      <c r="K24" s="262"/>
      <c r="L24" s="262"/>
      <c r="M24" s="262"/>
      <c r="N24" s="262"/>
      <c r="O24" s="262"/>
      <c r="P24" s="262"/>
      <c r="Q24" s="276"/>
      <c r="R24" s="3"/>
      <c r="S24" s="3"/>
      <c r="T24" s="3"/>
      <c r="U24" s="3"/>
      <c r="V24" s="3"/>
      <c r="W24" s="3"/>
      <c r="X24" s="3"/>
      <c r="Y24" s="3"/>
      <c r="Z24" s="3"/>
      <c r="AA24" s="3"/>
      <c r="AB24" s="3"/>
      <c r="AC24" s="3"/>
      <c r="AD24" s="3"/>
      <c r="AE24" s="3"/>
      <c r="AF24" s="3"/>
      <c r="AG24" s="3"/>
      <c r="AH24" s="3"/>
      <c r="AI24" s="3"/>
    </row>
    <row r="25" spans="1:35" s="266" customFormat="1" ht="33" customHeight="1" x14ac:dyDescent="0.35">
      <c r="A25" s="312" t="s">
        <v>184</v>
      </c>
      <c r="B25" s="313" t="s">
        <v>3</v>
      </c>
      <c r="C25" s="314">
        <f t="shared" ref="C25:Q25" si="5">C11-C22</f>
        <v>0</v>
      </c>
      <c r="D25" s="314">
        <f t="shared" si="5"/>
        <v>-25728.785</v>
      </c>
      <c r="E25" s="314">
        <f t="shared" si="5"/>
        <v>-73971.718333333338</v>
      </c>
      <c r="F25" s="314">
        <f t="shared" si="5"/>
        <v>11478.932000000001</v>
      </c>
      <c r="G25" s="314">
        <f t="shared" si="5"/>
        <v>31170.748999999996</v>
      </c>
      <c r="H25" s="314">
        <f t="shared" si="5"/>
        <v>-4358.541000000012</v>
      </c>
      <c r="I25" s="314">
        <f t="shared" si="5"/>
        <v>-5344.8100000000122</v>
      </c>
      <c r="J25" s="314">
        <f t="shared" si="5"/>
        <v>-4952.4040000000095</v>
      </c>
      <c r="K25" s="314">
        <f t="shared" si="5"/>
        <v>36709.501999999993</v>
      </c>
      <c r="L25" s="314">
        <f t="shared" si="5"/>
        <v>32207.521999999997</v>
      </c>
      <c r="M25" s="314">
        <f t="shared" si="5"/>
        <v>56169.447</v>
      </c>
      <c r="N25" s="314">
        <f t="shared" si="5"/>
        <v>-6557.8520000000135</v>
      </c>
      <c r="O25" s="314">
        <f t="shared" si="5"/>
        <v>-79609.41</v>
      </c>
      <c r="P25" s="314">
        <f t="shared" si="5"/>
        <v>-33355.410000000003</v>
      </c>
      <c r="Q25" s="314">
        <f t="shared" si="5"/>
        <v>-32389.600000000002</v>
      </c>
      <c r="R25" s="265"/>
      <c r="S25" s="265"/>
      <c r="T25" s="265"/>
      <c r="U25" s="265"/>
      <c r="V25" s="265"/>
      <c r="W25" s="265"/>
      <c r="X25" s="265"/>
      <c r="Y25" s="265"/>
      <c r="Z25" s="265"/>
      <c r="AA25" s="265"/>
      <c r="AB25" s="265"/>
      <c r="AC25" s="265"/>
      <c r="AD25" s="265"/>
      <c r="AE25" s="265"/>
      <c r="AF25" s="265"/>
      <c r="AG25" s="265"/>
      <c r="AH25" s="265"/>
      <c r="AI25" s="265"/>
    </row>
    <row r="26" spans="1:35" ht="4.5" customHeight="1" x14ac:dyDescent="0.35">
      <c r="A26" s="238"/>
      <c r="B26" s="246"/>
      <c r="C26" s="18"/>
      <c r="D26" s="18"/>
      <c r="E26" s="18"/>
      <c r="F26" s="18"/>
      <c r="G26" s="18"/>
      <c r="H26" s="18"/>
      <c r="I26" s="18"/>
      <c r="J26" s="18"/>
      <c r="K26" s="18"/>
      <c r="L26" s="18"/>
      <c r="M26" s="18"/>
      <c r="N26" s="18"/>
      <c r="O26" s="18"/>
      <c r="P26" s="18"/>
      <c r="Q26" s="18"/>
    </row>
    <row r="28" spans="1:35" ht="16.5" customHeight="1" x14ac:dyDescent="0.35">
      <c r="A28" s="721" t="s">
        <v>185</v>
      </c>
      <c r="B28" s="721"/>
      <c r="C28" s="722">
        <f>'5. Abikõlblik kulu'!C3</f>
        <v>0.04</v>
      </c>
      <c r="D28" s="722"/>
    </row>
    <row r="29" spans="1:35" ht="18.75" customHeight="1" x14ac:dyDescent="0.35">
      <c r="A29" s="721" t="s">
        <v>186</v>
      </c>
      <c r="B29" s="721"/>
      <c r="C29" s="723">
        <f>NPV(C28,C25:Q25)</f>
        <v>-70358.499475572258</v>
      </c>
      <c r="D29" s="723"/>
    </row>
    <row r="30" spans="1:35" ht="18.75" customHeight="1" x14ac:dyDescent="0.35">
      <c r="A30" s="721" t="s">
        <v>187</v>
      </c>
      <c r="B30" s="721"/>
      <c r="C30" s="722" t="e">
        <f>IRR(C25:Q25,J30)</f>
        <v>#NUM!</v>
      </c>
      <c r="D30" s="724"/>
      <c r="I30" s="72" t="s">
        <v>188</v>
      </c>
      <c r="J30" s="315">
        <v>-0.09</v>
      </c>
    </row>
    <row r="33" spans="1:17" ht="18.5" x14ac:dyDescent="0.35">
      <c r="A33" s="295" t="s">
        <v>189</v>
      </c>
      <c r="H33" s="296" t="s">
        <v>190</v>
      </c>
    </row>
    <row r="35" spans="1:17" ht="21" customHeight="1" x14ac:dyDescent="0.35">
      <c r="A35" s="233"/>
      <c r="B35" s="234"/>
      <c r="C35" s="297">
        <f>C3</f>
        <v>2024</v>
      </c>
      <c r="D35" s="297">
        <f>C35+1</f>
        <v>2025</v>
      </c>
      <c r="E35" s="297">
        <f t="shared" ref="E35:O35" si="6">D35+1</f>
        <v>2026</v>
      </c>
      <c r="F35" s="297">
        <f t="shared" si="6"/>
        <v>2027</v>
      </c>
      <c r="G35" s="297">
        <f t="shared" si="6"/>
        <v>2028</v>
      </c>
      <c r="H35" s="297">
        <f t="shared" si="6"/>
        <v>2029</v>
      </c>
      <c r="I35" s="297">
        <f t="shared" si="6"/>
        <v>2030</v>
      </c>
      <c r="J35" s="297">
        <f t="shared" si="6"/>
        <v>2031</v>
      </c>
      <c r="K35" s="297">
        <f t="shared" si="6"/>
        <v>2032</v>
      </c>
      <c r="L35" s="297">
        <f t="shared" si="6"/>
        <v>2033</v>
      </c>
      <c r="M35" s="297">
        <f t="shared" si="6"/>
        <v>2034</v>
      </c>
      <c r="N35" s="297">
        <f t="shared" si="6"/>
        <v>2035</v>
      </c>
      <c r="O35" s="297">
        <f t="shared" si="6"/>
        <v>2036</v>
      </c>
      <c r="P35" s="297">
        <f t="shared" ref="P35" si="7">O35+1</f>
        <v>2037</v>
      </c>
      <c r="Q35" s="297">
        <f t="shared" ref="Q35" si="8">P35+1</f>
        <v>2038</v>
      </c>
    </row>
    <row r="36" spans="1:17" ht="4.5" customHeight="1" x14ac:dyDescent="0.35">
      <c r="A36" s="238"/>
      <c r="B36" s="239"/>
      <c r="C36" s="299"/>
      <c r="D36" s="299"/>
      <c r="E36" s="299"/>
      <c r="F36" s="299"/>
      <c r="G36" s="299"/>
      <c r="H36" s="299"/>
      <c r="I36" s="299"/>
      <c r="J36" s="299"/>
      <c r="K36" s="299"/>
      <c r="L36" s="299"/>
      <c r="M36" s="299"/>
      <c r="N36" s="299"/>
      <c r="O36" s="299"/>
      <c r="P36" s="299"/>
      <c r="Q36" s="300"/>
    </row>
    <row r="37" spans="1:17" ht="15.5" x14ac:dyDescent="0.35">
      <c r="A37" s="302" t="s">
        <v>175</v>
      </c>
      <c r="B37" s="303" t="s">
        <v>2</v>
      </c>
      <c r="C37" s="72"/>
      <c r="D37" s="72"/>
      <c r="E37" s="72"/>
      <c r="F37" s="72"/>
      <c r="G37" s="72"/>
      <c r="H37" s="72"/>
      <c r="I37" s="72"/>
      <c r="J37" s="72"/>
      <c r="K37" s="72"/>
      <c r="L37" s="72"/>
      <c r="M37" s="72"/>
      <c r="N37" s="72"/>
      <c r="O37" s="72"/>
      <c r="P37" s="72"/>
      <c r="Q37" s="72"/>
    </row>
    <row r="38" spans="1:17" ht="4.5" customHeight="1" x14ac:dyDescent="0.35">
      <c r="A38" s="240"/>
      <c r="B38" s="239"/>
      <c r="C38" s="74"/>
      <c r="D38" s="74"/>
      <c r="E38" s="74"/>
      <c r="F38" s="74"/>
      <c r="G38" s="74"/>
      <c r="H38" s="74"/>
      <c r="I38" s="74"/>
      <c r="J38" s="74"/>
      <c r="K38" s="74"/>
      <c r="L38" s="74"/>
      <c r="M38" s="74"/>
      <c r="N38" s="74"/>
      <c r="O38" s="74"/>
      <c r="P38" s="74"/>
      <c r="Q38" s="134"/>
    </row>
    <row r="39" spans="1:17" x14ac:dyDescent="0.35">
      <c r="A39" s="304" t="str">
        <f>A7</f>
        <v>Lisanduvad (juurdekasvulised) tulud</v>
      </c>
      <c r="B39" s="305" t="s">
        <v>3</v>
      </c>
      <c r="C39" s="306">
        <f>'4. Lisanduvad tulud-kulud'!D53</f>
        <v>0</v>
      </c>
      <c r="D39" s="306">
        <f>'4. Lisanduvad tulud-kulud'!E53</f>
        <v>0</v>
      </c>
      <c r="E39" s="306">
        <f>'4. Lisanduvad tulud-kulud'!F53</f>
        <v>0</v>
      </c>
      <c r="F39" s="306">
        <f>'4. Lisanduvad tulud-kulud'!G53</f>
        <v>155660</v>
      </c>
      <c r="G39" s="306">
        <f>'4. Lisanduvad tulud-kulud'!H53</f>
        <v>109620</v>
      </c>
      <c r="H39" s="306">
        <f>'4. Lisanduvad tulud-kulud'!I53</f>
        <v>73520</v>
      </c>
      <c r="I39" s="306">
        <f>'4. Lisanduvad tulud-kulud'!J53</f>
        <v>72500</v>
      </c>
      <c r="J39" s="306">
        <f>'4. Lisanduvad tulud-kulud'!K53</f>
        <v>72880</v>
      </c>
      <c r="K39" s="306">
        <f>'4. Lisanduvad tulud-kulud'!L53</f>
        <v>115160</v>
      </c>
      <c r="L39" s="306">
        <f>'4. Lisanduvad tulud-kulud'!M53</f>
        <v>110560</v>
      </c>
      <c r="M39" s="306">
        <f>'4. Lisanduvad tulud-kulud'!N53</f>
        <v>134860</v>
      </c>
      <c r="N39" s="306">
        <f>'4. Lisanduvad tulud-kulud'!O53</f>
        <v>71140</v>
      </c>
      <c r="O39" s="306">
        <f>'4. Lisanduvad tulud-kulud'!P53</f>
        <v>0</v>
      </c>
      <c r="P39" s="306">
        <f>'4. Lisanduvad tulud-kulud'!Q53</f>
        <v>0</v>
      </c>
      <c r="Q39" s="306">
        <f>'4. Lisanduvad tulud-kulud'!R53</f>
        <v>0</v>
      </c>
    </row>
    <row r="40" spans="1:17" ht="4.5" customHeight="1" x14ac:dyDescent="0.35">
      <c r="A40" s="238"/>
      <c r="B40" s="246"/>
      <c r="C40" s="18"/>
      <c r="D40" s="18"/>
      <c r="E40" s="18"/>
      <c r="F40" s="18"/>
      <c r="G40" s="18"/>
      <c r="H40" s="18"/>
      <c r="I40" s="18"/>
      <c r="J40" s="18"/>
      <c r="K40" s="18"/>
      <c r="L40" s="18"/>
      <c r="M40" s="18"/>
      <c r="N40" s="18"/>
      <c r="O40" s="18"/>
      <c r="P40" s="18"/>
      <c r="Q40" s="19"/>
    </row>
    <row r="41" spans="1:17" ht="15.5" x14ac:dyDescent="0.35">
      <c r="A41" s="309" t="s">
        <v>178</v>
      </c>
      <c r="B41" s="310" t="s">
        <v>3</v>
      </c>
      <c r="C41" s="311">
        <f t="shared" ref="C41:Q41" si="9">SUM(C39:C39)</f>
        <v>0</v>
      </c>
      <c r="D41" s="311">
        <f t="shared" si="9"/>
        <v>0</v>
      </c>
      <c r="E41" s="311">
        <f t="shared" si="9"/>
        <v>0</v>
      </c>
      <c r="F41" s="311">
        <f t="shared" si="9"/>
        <v>155660</v>
      </c>
      <c r="G41" s="311">
        <f t="shared" si="9"/>
        <v>109620</v>
      </c>
      <c r="H41" s="311">
        <f t="shared" si="9"/>
        <v>73520</v>
      </c>
      <c r="I41" s="311">
        <f t="shared" si="9"/>
        <v>72500</v>
      </c>
      <c r="J41" s="311">
        <f t="shared" si="9"/>
        <v>72880</v>
      </c>
      <c r="K41" s="311">
        <f t="shared" si="9"/>
        <v>115160</v>
      </c>
      <c r="L41" s="311">
        <f t="shared" si="9"/>
        <v>110560</v>
      </c>
      <c r="M41" s="311">
        <f t="shared" si="9"/>
        <v>134860</v>
      </c>
      <c r="N41" s="311">
        <f t="shared" si="9"/>
        <v>71140</v>
      </c>
      <c r="O41" s="311">
        <f t="shared" si="9"/>
        <v>0</v>
      </c>
      <c r="P41" s="311">
        <f t="shared" si="9"/>
        <v>0</v>
      </c>
      <c r="Q41" s="311">
        <f t="shared" si="9"/>
        <v>0</v>
      </c>
    </row>
    <row r="42" spans="1:17" ht="4.5" customHeight="1" x14ac:dyDescent="0.35">
      <c r="A42" s="251"/>
      <c r="B42" s="246"/>
      <c r="C42" s="252"/>
      <c r="D42" s="252"/>
      <c r="E42" s="252"/>
      <c r="F42" s="252"/>
      <c r="G42" s="252"/>
      <c r="H42" s="252"/>
      <c r="I42" s="252"/>
      <c r="J42" s="252"/>
      <c r="K42" s="252"/>
      <c r="L42" s="252"/>
      <c r="M42" s="252"/>
      <c r="N42" s="252"/>
      <c r="O42" s="252"/>
      <c r="P42" s="252"/>
      <c r="Q42" s="253"/>
    </row>
    <row r="43" spans="1:17" x14ac:dyDescent="0.35">
      <c r="A43" s="254"/>
      <c r="B43" s="255"/>
      <c r="C43" s="256"/>
      <c r="D43" s="256"/>
      <c r="E43" s="256"/>
      <c r="F43" s="256"/>
      <c r="G43" s="256"/>
      <c r="H43" s="256"/>
      <c r="I43" s="256"/>
      <c r="J43" s="256"/>
      <c r="K43" s="256"/>
      <c r="L43" s="256"/>
      <c r="M43" s="256"/>
      <c r="N43" s="256"/>
      <c r="O43" s="256"/>
      <c r="P43" s="256"/>
      <c r="Q43" s="256"/>
    </row>
    <row r="44" spans="1:17" ht="15.5" x14ac:dyDescent="0.35">
      <c r="A44" s="302" t="s">
        <v>179</v>
      </c>
      <c r="B44" s="257"/>
      <c r="C44" s="11"/>
      <c r="D44" s="11"/>
      <c r="E44" s="11"/>
      <c r="F44" s="11"/>
      <c r="G44" s="11"/>
      <c r="H44" s="11"/>
      <c r="I44" s="11"/>
      <c r="J44" s="11"/>
      <c r="K44" s="11"/>
      <c r="L44" s="11"/>
      <c r="M44" s="11"/>
      <c r="N44" s="11"/>
      <c r="O44" s="11"/>
      <c r="P44" s="11"/>
      <c r="Q44" s="11"/>
    </row>
    <row r="45" spans="1:17" ht="4.5" customHeight="1" x14ac:dyDescent="0.35">
      <c r="A45" s="240"/>
      <c r="B45" s="246"/>
      <c r="C45" s="18"/>
      <c r="D45" s="18"/>
      <c r="E45" s="18"/>
      <c r="F45" s="18"/>
      <c r="G45" s="18"/>
      <c r="H45" s="18"/>
      <c r="I45" s="18"/>
      <c r="J45" s="18"/>
      <c r="K45" s="18"/>
      <c r="L45" s="18"/>
      <c r="M45" s="18"/>
      <c r="N45" s="18"/>
      <c r="O45" s="18"/>
      <c r="P45" s="18"/>
      <c r="Q45" s="19"/>
    </row>
    <row r="46" spans="1:17" x14ac:dyDescent="0.35">
      <c r="A46" s="307" t="str">
        <f>A16</f>
        <v>Lisanduvad (juurdekasvulised) kulud</v>
      </c>
      <c r="B46" s="305" t="s">
        <v>3</v>
      </c>
      <c r="C46" s="306">
        <f>'4. Lisanduvad tulud-kulud'!D118</f>
        <v>0</v>
      </c>
      <c r="D46" s="306">
        <f>'4. Lisanduvad tulud-kulud'!E118</f>
        <v>25728.785</v>
      </c>
      <c r="E46" s="306">
        <f>'4. Lisanduvad tulud-kulud'!F118</f>
        <v>73971.718333333338</v>
      </c>
      <c r="F46" s="306">
        <f>'4. Lisanduvad tulud-kulud'!G118</f>
        <v>79181.067999999999</v>
      </c>
      <c r="G46" s="306">
        <f>'4. Lisanduvad tulud-kulud'!H118</f>
        <v>78449.251000000004</v>
      </c>
      <c r="H46" s="306">
        <f>'4. Lisanduvad tulud-kulud'!I118</f>
        <v>77878.541000000012</v>
      </c>
      <c r="I46" s="306">
        <f>'4. Lisanduvad tulud-kulud'!J118</f>
        <v>77844.810000000012</v>
      </c>
      <c r="J46" s="306">
        <f>'4. Lisanduvad tulud-kulud'!K118</f>
        <v>77832.40400000001</v>
      </c>
      <c r="K46" s="306">
        <f>'4. Lisanduvad tulud-kulud'!L118</f>
        <v>78450.498000000007</v>
      </c>
      <c r="L46" s="306">
        <f>'4. Lisanduvad tulud-kulud'!M118</f>
        <v>78352.478000000003</v>
      </c>
      <c r="M46" s="306">
        <f>'4. Lisanduvad tulud-kulud'!N118</f>
        <v>78690.553</v>
      </c>
      <c r="N46" s="306">
        <f>'4. Lisanduvad tulud-kulud'!O118</f>
        <v>77697.852000000014</v>
      </c>
      <c r="O46" s="306">
        <f>'4. Lisanduvad tulud-kulud'!P118</f>
        <v>79609.41</v>
      </c>
      <c r="P46" s="306">
        <f>'4. Lisanduvad tulud-kulud'!Q118</f>
        <v>33355.410000000003</v>
      </c>
      <c r="Q46" s="306">
        <f>'4. Lisanduvad tulud-kulud'!R118</f>
        <v>32389.600000000002</v>
      </c>
    </row>
    <row r="47" spans="1:17" x14ac:dyDescent="0.35">
      <c r="A47" s="307" t="s">
        <v>191</v>
      </c>
      <c r="B47" s="305" t="s">
        <v>3</v>
      </c>
      <c r="C47" s="306">
        <f>'1. Projekti elluviimise kulud'!D23</f>
        <v>50000</v>
      </c>
      <c r="D47" s="306">
        <f>'1. Projekti elluviimise kulud'!E23</f>
        <v>1222522.28</v>
      </c>
      <c r="E47" s="306">
        <f>'1. Projekti elluviimise kulud'!F23</f>
        <v>0</v>
      </c>
      <c r="F47" s="306">
        <f>'1. Projekti elluviimise kulud'!G23</f>
        <v>0</v>
      </c>
      <c r="G47" s="306">
        <f>'1. Projekti elluviimise kulud'!H23</f>
        <v>0</v>
      </c>
      <c r="H47" s="306">
        <f>'1. Projekti elluviimise kulud'!I23</f>
        <v>0</v>
      </c>
      <c r="I47" s="258"/>
      <c r="J47" s="258"/>
      <c r="K47" s="258"/>
      <c r="L47" s="258"/>
      <c r="M47" s="258"/>
      <c r="N47" s="258"/>
      <c r="O47" s="258"/>
      <c r="P47" s="258"/>
      <c r="Q47" s="258"/>
    </row>
    <row r="48" spans="1:17" x14ac:dyDescent="0.35">
      <c r="A48" s="307" t="s">
        <v>177</v>
      </c>
      <c r="B48" s="305" t="s">
        <v>3</v>
      </c>
      <c r="C48" s="258"/>
      <c r="D48" s="258"/>
      <c r="E48" s="258"/>
      <c r="F48" s="258"/>
      <c r="G48" s="258"/>
      <c r="H48" s="258"/>
      <c r="I48" s="258"/>
      <c r="J48" s="258"/>
      <c r="K48" s="258"/>
      <c r="L48" s="258"/>
      <c r="M48" s="258"/>
      <c r="N48" s="258"/>
      <c r="O48" s="258"/>
      <c r="P48" s="258"/>
      <c r="Q48" s="306">
        <f>-Q8</f>
        <v>0</v>
      </c>
    </row>
    <row r="49" spans="1:17" ht="4.5" customHeight="1" x14ac:dyDescent="0.35">
      <c r="A49" s="259"/>
      <c r="B49" s="260"/>
      <c r="C49" s="258"/>
      <c r="D49" s="258"/>
      <c r="E49" s="258"/>
      <c r="F49" s="258"/>
      <c r="G49" s="258"/>
      <c r="H49" s="258"/>
      <c r="I49" s="258"/>
      <c r="J49" s="258"/>
      <c r="K49" s="258"/>
      <c r="L49" s="258"/>
      <c r="M49" s="258"/>
      <c r="N49" s="258"/>
      <c r="O49" s="258"/>
      <c r="P49" s="258"/>
      <c r="Q49" s="258"/>
    </row>
    <row r="50" spans="1:17" ht="15.5" x14ac:dyDescent="0.35">
      <c r="A50" s="309" t="s">
        <v>183</v>
      </c>
      <c r="B50" s="310" t="s">
        <v>3</v>
      </c>
      <c r="C50" s="311">
        <f t="shared" ref="C50:Q50" si="10">SUM(C46:C48)</f>
        <v>50000</v>
      </c>
      <c r="D50" s="311">
        <f t="shared" si="10"/>
        <v>1248251.0649999999</v>
      </c>
      <c r="E50" s="311">
        <f t="shared" si="10"/>
        <v>73971.718333333338</v>
      </c>
      <c r="F50" s="311">
        <f t="shared" si="10"/>
        <v>79181.067999999999</v>
      </c>
      <c r="G50" s="311">
        <f t="shared" si="10"/>
        <v>78449.251000000004</v>
      </c>
      <c r="H50" s="311">
        <f t="shared" si="10"/>
        <v>77878.541000000012</v>
      </c>
      <c r="I50" s="311">
        <f t="shared" si="10"/>
        <v>77844.810000000012</v>
      </c>
      <c r="J50" s="311">
        <f t="shared" si="10"/>
        <v>77832.40400000001</v>
      </c>
      <c r="K50" s="311">
        <f t="shared" si="10"/>
        <v>78450.498000000007</v>
      </c>
      <c r="L50" s="311">
        <f t="shared" si="10"/>
        <v>78352.478000000003</v>
      </c>
      <c r="M50" s="311">
        <f t="shared" si="10"/>
        <v>78690.553</v>
      </c>
      <c r="N50" s="311">
        <f t="shared" si="10"/>
        <v>77697.852000000014</v>
      </c>
      <c r="O50" s="311">
        <f t="shared" si="10"/>
        <v>79609.41</v>
      </c>
      <c r="P50" s="311">
        <f t="shared" si="10"/>
        <v>33355.410000000003</v>
      </c>
      <c r="Q50" s="311">
        <f t="shared" si="10"/>
        <v>32389.600000000002</v>
      </c>
    </row>
    <row r="51" spans="1:17" ht="4.5" customHeight="1" x14ac:dyDescent="0.35">
      <c r="A51" s="251"/>
      <c r="B51" s="246"/>
      <c r="C51" s="252"/>
      <c r="D51" s="252"/>
      <c r="E51" s="252"/>
      <c r="F51" s="252"/>
      <c r="G51" s="252"/>
      <c r="H51" s="252"/>
      <c r="I51" s="252"/>
      <c r="J51" s="252"/>
      <c r="K51" s="252"/>
      <c r="L51" s="252"/>
      <c r="M51" s="252"/>
      <c r="N51" s="252"/>
      <c r="O51" s="252"/>
      <c r="P51" s="252"/>
      <c r="Q51" s="253"/>
    </row>
    <row r="52" spans="1:17" ht="15.5" x14ac:dyDescent="0.35">
      <c r="A52" s="261"/>
      <c r="B52" s="255"/>
      <c r="C52" s="262"/>
      <c r="D52" s="262"/>
      <c r="E52" s="262"/>
      <c r="F52" s="262"/>
      <c r="G52" s="262"/>
      <c r="H52" s="262"/>
      <c r="I52" s="262"/>
      <c r="J52" s="262"/>
      <c r="K52" s="262"/>
      <c r="L52" s="262"/>
      <c r="M52" s="262"/>
      <c r="N52" s="262"/>
      <c r="O52" s="262"/>
      <c r="P52" s="262"/>
      <c r="Q52" s="276"/>
    </row>
    <row r="53" spans="1:17" ht="29" x14ac:dyDescent="0.35">
      <c r="A53" s="312" t="s">
        <v>184</v>
      </c>
      <c r="B53" s="313" t="s">
        <v>3</v>
      </c>
      <c r="C53" s="314">
        <f t="shared" ref="C53:Q53" si="11">C41-C50</f>
        <v>-50000</v>
      </c>
      <c r="D53" s="314">
        <f t="shared" si="11"/>
        <v>-1248251.0649999999</v>
      </c>
      <c r="E53" s="314">
        <f t="shared" si="11"/>
        <v>-73971.718333333338</v>
      </c>
      <c r="F53" s="314">
        <f t="shared" si="11"/>
        <v>76478.932000000001</v>
      </c>
      <c r="G53" s="314">
        <f t="shared" si="11"/>
        <v>31170.748999999996</v>
      </c>
      <c r="H53" s="314">
        <f t="shared" si="11"/>
        <v>-4358.541000000012</v>
      </c>
      <c r="I53" s="314">
        <f t="shared" si="11"/>
        <v>-5344.8100000000122</v>
      </c>
      <c r="J53" s="314">
        <f t="shared" si="11"/>
        <v>-4952.4040000000095</v>
      </c>
      <c r="K53" s="314">
        <f t="shared" si="11"/>
        <v>36709.501999999993</v>
      </c>
      <c r="L53" s="314">
        <f t="shared" si="11"/>
        <v>32207.521999999997</v>
      </c>
      <c r="M53" s="314">
        <f t="shared" si="11"/>
        <v>56169.447</v>
      </c>
      <c r="N53" s="314">
        <f t="shared" si="11"/>
        <v>-6557.8520000000135</v>
      </c>
      <c r="O53" s="314">
        <f t="shared" si="11"/>
        <v>-79609.41</v>
      </c>
      <c r="P53" s="314">
        <f t="shared" si="11"/>
        <v>-33355.410000000003</v>
      </c>
      <c r="Q53" s="314">
        <f t="shared" si="11"/>
        <v>-32389.600000000002</v>
      </c>
    </row>
    <row r="54" spans="1:17" ht="4.5" customHeight="1" x14ac:dyDescent="0.35">
      <c r="A54" s="238"/>
      <c r="B54" s="246"/>
      <c r="C54" s="18"/>
      <c r="D54" s="18"/>
      <c r="E54" s="18"/>
      <c r="F54" s="18"/>
      <c r="G54" s="18"/>
      <c r="H54" s="18"/>
      <c r="I54" s="18"/>
      <c r="J54" s="18"/>
      <c r="K54" s="18"/>
      <c r="L54" s="18"/>
      <c r="M54" s="18"/>
      <c r="N54" s="18"/>
      <c r="O54" s="18"/>
      <c r="P54" s="18"/>
      <c r="Q54" s="18"/>
    </row>
    <row r="56" spans="1:17" x14ac:dyDescent="0.35">
      <c r="A56" s="721" t="s">
        <v>185</v>
      </c>
      <c r="B56" s="721"/>
      <c r="C56" s="722">
        <f>C28</f>
        <v>0.04</v>
      </c>
      <c r="D56" s="722"/>
    </row>
    <row r="57" spans="1:17" ht="34.5" customHeight="1" x14ac:dyDescent="0.35">
      <c r="A57" s="652" t="s">
        <v>192</v>
      </c>
      <c r="B57" s="652"/>
      <c r="C57" s="723">
        <f>NPV(C56,C53:Q53)</f>
        <v>-1193163.7196621897</v>
      </c>
      <c r="D57" s="723"/>
      <c r="H57"/>
      <c r="I57"/>
      <c r="J57"/>
      <c r="K57"/>
    </row>
    <row r="58" spans="1:17" ht="19.5" customHeight="1" x14ac:dyDescent="0.35">
      <c r="A58" s="721" t="s">
        <v>193</v>
      </c>
      <c r="B58" s="721"/>
      <c r="C58" s="722" t="e">
        <f>IRR(C53:Q53,J30)</f>
        <v>#NUM!</v>
      </c>
      <c r="D58" s="724"/>
      <c r="H58"/>
      <c r="I58"/>
      <c r="J58"/>
      <c r="K58"/>
    </row>
    <row r="59" spans="1:17" x14ac:dyDescent="0.35">
      <c r="H59"/>
      <c r="I59"/>
      <c r="J59"/>
      <c r="K59"/>
    </row>
    <row r="60" spans="1:17" x14ac:dyDescent="0.35">
      <c r="H60"/>
      <c r="I60"/>
      <c r="J60"/>
      <c r="K60"/>
    </row>
  </sheetData>
  <mergeCells count="12">
    <mergeCell ref="A28:B28"/>
    <mergeCell ref="C28:D28"/>
    <mergeCell ref="A29:B29"/>
    <mergeCell ref="C29:D29"/>
    <mergeCell ref="A30:B30"/>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18</vt:i4>
      </vt:variant>
      <vt:variant>
        <vt:lpstr>Nimega vahemikud</vt:lpstr>
      </vt:variant>
      <vt:variant>
        <vt:i4>8</vt:i4>
      </vt:variant>
    </vt:vector>
  </HeadingPairs>
  <TitlesOfParts>
    <vt:vector size="26" baseType="lpstr">
      <vt:lpstr>Juhend</vt:lpstr>
      <vt:lpstr>Esileht</vt:lpstr>
      <vt:lpstr>1. Projekti elluviimise kulud</vt:lpstr>
      <vt:lpstr>2. Tulud-kulud projektiga</vt:lpstr>
      <vt:lpstr>3. Tulud-kulud projektita</vt:lpstr>
      <vt:lpstr>4. Lisanduvad tulud-kulud</vt:lpstr>
      <vt:lpstr>5. Abikõlblik kulu</vt:lpstr>
      <vt:lpstr>6. Rahavood</vt:lpstr>
      <vt:lpstr>7. Tasuvus</vt:lpstr>
      <vt:lpstr>8. Jääkväärtus</vt:lpstr>
      <vt:lpstr>Eeldused_müük</vt:lpstr>
      <vt:lpstr>Rah.min prognoos</vt:lpstr>
      <vt:lpstr>Sots.majanduslik moju</vt:lpstr>
      <vt:lpstr>Maksumäärad</vt:lpstr>
      <vt:lpstr>Arvestusperioodid</vt:lpstr>
      <vt:lpstr>personal</vt:lpstr>
      <vt:lpstr>Asendusinvesteeringud</vt:lpstr>
      <vt:lpstr>Link tabel</vt:lpstr>
      <vt:lpstr>Eeldused_müük!Prindiala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2024-05-29T15:57:16Z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